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57381ED-EC30-4BE6-A1F8-9D61D4A09665}" xr6:coauthVersionLast="47" xr6:coauthVersionMax="47" xr10:uidLastSave="{00000000-0000-0000-0000-000000000000}"/>
  <workbookProtection workbookAlgorithmName="SHA-512" workbookHashValue="ZyiDPImqf9xPpO3gnh8+F8/IYlCe5rFp2I/hS4XZea9wE+bKiluJGYKM9zWN0n0+2lGZneqm8lDo1+eQlbnXug==" workbookSaltValue="OKwibqVk7jJbLFpa49APoA==" workbookSpinCount="100000" lockStructure="1"/>
  <bookViews>
    <workbookView xWindow="4155" yWindow="1995" windowWidth="28860" windowHeight="16410" xr2:uid="{D5F63189-019B-4EFC-ACF0-38BE49B6A9F7}"/>
  </bookViews>
  <sheets>
    <sheet name="Inputs" sheetId="4" r:id="rId1"/>
    <sheet name="Model" sheetId="3" r:id="rId2"/>
    <sheet name="ModelFactors" sheetId="2" r:id="rId3"/>
    <sheet name="Wind Capacity Factor" sheetId="7" r:id="rId4"/>
    <sheet name="2025_Forecasts" sheetId="1" r:id="rId5"/>
  </sheets>
  <definedNames>
    <definedName name="Cash_Flow_Base_Year">Inputs!$C$63</definedName>
    <definedName name="Cash_Flow_Label">Inputs!$C$37</definedName>
    <definedName name="CC_MTC">Inputs!$C$20</definedName>
    <definedName name="Community_Adder">Inputs!$C$23</definedName>
    <definedName name="Cost_Base_Year">Inputs!$C$60</definedName>
    <definedName name="Date_of_Operation">Inputs!$C$7</definedName>
    <definedName name="Days_per_Year">ModelFactors!$AA$1:$AB$52</definedName>
    <definedName name="Decomm_Cost_Rate">Inputs!$C$48</definedName>
    <definedName name="Degradation">Inputs!$C$51</definedName>
    <definedName name="DRV_Factors">'2025_Forecasts'!$C$93:$AG$137</definedName>
    <definedName name="DRV_Rate">Inputs!$C$19</definedName>
    <definedName name="DRV_Ref_Year">Inputs!$C$61</definedName>
    <definedName name="DRV_Renewal_Rate">Inputs!$C$52</definedName>
    <definedName name="DRV_Table">ModelFactors!$P$1:$S$11</definedName>
    <definedName name="Forecast_Base_Year">Inputs!$C$62</definedName>
    <definedName name="Forecast_Energy_Header">'2025_Forecasts'!$C$1:$AG$1</definedName>
    <definedName name="Forecast_Energy_Tier1">'2025_Forecasts'!$C$24:$AG$56</definedName>
    <definedName name="Forecast_Energy_VDER">'2025_Forecasts'!$C$2:$AG$23</definedName>
    <definedName name="Forecast_ICAP">'2025_Forecasts'!$C$58:$AG$91</definedName>
    <definedName name="Forecast_ICAP_Header">'2025_Forecasts'!$C$58:$AG$58</definedName>
    <definedName name="Forecast_NEM_Commercial">'2025_Forecasts'!$C$149:$AG$156</definedName>
    <definedName name="Forecast_NEM_Header">'2025_Forecasts'!$C$140:$AG$140</definedName>
    <definedName name="Forecast_NEM_Residential">'2025_Forecasts'!$C$141:$AG$148</definedName>
    <definedName name="Fraction_of_Credits">Inputs!$C$53</definedName>
    <definedName name="Ground_Lease_Ann">Inputs!$C$13</definedName>
    <definedName name="Ground_Lease_Esc">Inputs!$C$14</definedName>
    <definedName name="Inflation">Inputs!$C$50</definedName>
    <definedName name="Inverter_Age">Inputs!$C$56</definedName>
    <definedName name="Inverter_Cost">Inputs!$C$59</definedName>
    <definedName name="Inverter_Repl_Cycle">Inputs!$C$57</definedName>
    <definedName name="Inverter_Size">Inputs!$C$55</definedName>
    <definedName name="Inverter_Size_Step">Inputs!$C$58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aded_Discount_Rate">Inputs!$C$12</definedName>
    <definedName name="NEM_Utility_Name">Inputs!$C$31</definedName>
    <definedName name="Nominal_Real_Switch">Inputs!$E$37</definedName>
    <definedName name="NYISO_Name">ModelFactors!$X$2:$X$12</definedName>
    <definedName name="NYISO_Zone">Inputs!$C$43</definedName>
    <definedName name="Plant_Type">Inputs!$C$5</definedName>
    <definedName name="Plant_Type_Table">ModelFactors!$V$4:$V$8</definedName>
    <definedName name="Residential_Share">Inputs!$C$54</definedName>
    <definedName name="Revenue_Model">Inputs!$C$4</definedName>
    <definedName name="System_Age">Inputs!$C$9</definedName>
    <definedName name="System_Size">Inputs!$C$6</definedName>
    <definedName name="Tax_Status_Year">Inputs!$C$8</definedName>
    <definedName name="Utility_Loss_Adjustment">Inputs!$C$47</definedName>
    <definedName name="ValGroup">Inputs!$C$42</definedName>
    <definedName name="ValGroup_Table">ModelFactors!$D$1:$E$72</definedName>
    <definedName name="ValGroup_Zone">Inputs!$C$44</definedName>
    <definedName name="VDER_Utility_Name">Inputs!$C$18</definedName>
    <definedName name="Zone_Capacity_Factor">Inputs!$C$45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4" l="1"/>
  <c r="C2" i="3" l="1"/>
  <c r="C9" i="4"/>
  <c r="E56" i="2" a="1"/>
  <c r="E56" i="2" s="1"/>
  <c r="E55" i="2" a="1"/>
  <c r="E55" i="2" s="1"/>
  <c r="E54" i="2" a="1"/>
  <c r="E54" i="2" s="1"/>
  <c r="E53" i="2" a="1"/>
  <c r="E53" i="2" s="1"/>
  <c r="E52" i="2" a="1"/>
  <c r="E52" i="2" s="1"/>
  <c r="E51" i="2" a="1"/>
  <c r="E51" i="2" s="1"/>
  <c r="E50" i="2" a="1"/>
  <c r="E50" i="2" s="1"/>
  <c r="E49" i="2" a="1"/>
  <c r="E49" i="2" s="1"/>
  <c r="E48" i="2" a="1"/>
  <c r="E48" i="2" s="1"/>
  <c r="E47" i="2" a="1"/>
  <c r="E47" i="2" s="1"/>
  <c r="E46" i="2" a="1"/>
  <c r="E46" i="2" s="1"/>
  <c r="C47" i="3" l="1"/>
  <c r="K4" i="7"/>
  <c r="J4" i="7"/>
  <c r="I4" i="7"/>
  <c r="E4" i="7"/>
  <c r="C4" i="7"/>
  <c r="C77" i="4" l="1"/>
  <c r="C78" i="4" s="1"/>
  <c r="C71" i="4"/>
  <c r="C72" i="4" l="1"/>
  <c r="C138" i="3"/>
  <c r="C42" i="4" l="1"/>
  <c r="C59" i="4" s="1"/>
  <c r="C10" i="4" l="1"/>
  <c r="C82" i="3"/>
  <c r="E37" i="4"/>
  <c r="AA2" i="3"/>
  <c r="AA47" i="3" s="1"/>
  <c r="Z2" i="3"/>
  <c r="Z47" i="3" s="1"/>
  <c r="Y2" i="3"/>
  <c r="Y47" i="3" s="1"/>
  <c r="X2" i="3"/>
  <c r="X47" i="3" s="1"/>
  <c r="W2" i="3"/>
  <c r="W47" i="3" s="1"/>
  <c r="V2" i="3"/>
  <c r="V47" i="3" s="1"/>
  <c r="U2" i="3"/>
  <c r="U47" i="3" s="1"/>
  <c r="T2" i="3"/>
  <c r="T47" i="3" s="1"/>
  <c r="S2" i="3"/>
  <c r="S47" i="3" s="1"/>
  <c r="R2" i="3"/>
  <c r="R47" i="3" s="1"/>
  <c r="Q2" i="3"/>
  <c r="Q47" i="3" s="1"/>
  <c r="P2" i="3"/>
  <c r="P47" i="3" s="1"/>
  <c r="O2" i="3"/>
  <c r="O47" i="3" s="1"/>
  <c r="N2" i="3"/>
  <c r="N47" i="3" s="1"/>
  <c r="M2" i="3"/>
  <c r="M47" i="3" s="1"/>
  <c r="L2" i="3"/>
  <c r="L47" i="3" s="1"/>
  <c r="K2" i="3"/>
  <c r="K47" i="3" s="1"/>
  <c r="J2" i="3"/>
  <c r="J47" i="3" s="1"/>
  <c r="I2" i="3"/>
  <c r="I47" i="3" s="1"/>
  <c r="H2" i="3"/>
  <c r="H47" i="3" s="1"/>
  <c r="G2" i="3"/>
  <c r="G47" i="3" s="1"/>
  <c r="F2" i="3"/>
  <c r="F47" i="3" s="1"/>
  <c r="E2" i="3"/>
  <c r="E47" i="3" s="1"/>
  <c r="D2" i="3"/>
  <c r="D47" i="3" s="1"/>
  <c r="AA49" i="3" l="1"/>
  <c r="Z49" i="3"/>
  <c r="Y49" i="3"/>
  <c r="X49" i="3"/>
  <c r="W49" i="3"/>
  <c r="V49" i="3"/>
  <c r="U49" i="3"/>
  <c r="T49" i="3"/>
  <c r="S49" i="3"/>
  <c r="R49" i="3"/>
  <c r="Q49" i="3"/>
  <c r="P49" i="3"/>
  <c r="O49" i="3"/>
  <c r="N49" i="3"/>
  <c r="M49" i="3"/>
  <c r="L49" i="3"/>
  <c r="K49" i="3"/>
  <c r="J49" i="3"/>
  <c r="I49" i="3"/>
  <c r="H49" i="3"/>
  <c r="G49" i="3"/>
  <c r="F49" i="3"/>
  <c r="E49" i="3"/>
  <c r="D49" i="3"/>
  <c r="C49" i="3"/>
  <c r="AA50" i="3"/>
  <c r="Z50" i="3"/>
  <c r="Y50" i="3"/>
  <c r="X50" i="3"/>
  <c r="W50" i="3"/>
  <c r="V50" i="3"/>
  <c r="U50" i="3"/>
  <c r="T50" i="3"/>
  <c r="S50" i="3"/>
  <c r="R50" i="3"/>
  <c r="Q50" i="3"/>
  <c r="P50" i="3"/>
  <c r="O50" i="3"/>
  <c r="N50" i="3"/>
  <c r="M50" i="3"/>
  <c r="L50" i="3"/>
  <c r="K50" i="3"/>
  <c r="J50" i="3"/>
  <c r="I50" i="3"/>
  <c r="H50" i="3"/>
  <c r="G50" i="3"/>
  <c r="F50" i="3"/>
  <c r="E50" i="3"/>
  <c r="D50" i="3"/>
  <c r="C50" i="3"/>
  <c r="AA48" i="3"/>
  <c r="Z48" i="3"/>
  <c r="Y48" i="3"/>
  <c r="X48" i="3"/>
  <c r="W48" i="3"/>
  <c r="V48" i="3"/>
  <c r="U48" i="3"/>
  <c r="T48" i="3"/>
  <c r="S48" i="3"/>
  <c r="R48" i="3"/>
  <c r="Q48" i="3"/>
  <c r="P48" i="3"/>
  <c r="O48" i="3"/>
  <c r="N48" i="3"/>
  <c r="M48" i="3"/>
  <c r="L48" i="3"/>
  <c r="K48" i="3"/>
  <c r="J48" i="3"/>
  <c r="I48" i="3"/>
  <c r="H48" i="3"/>
  <c r="G48" i="3"/>
  <c r="F48" i="3"/>
  <c r="E48" i="3"/>
  <c r="D48" i="3"/>
  <c r="C48" i="3"/>
  <c r="AA83" i="3" l="1"/>
  <c r="Z83" i="3"/>
  <c r="Y83" i="3"/>
  <c r="X83" i="3"/>
  <c r="W83" i="3"/>
  <c r="V83" i="3"/>
  <c r="U83" i="3"/>
  <c r="T83" i="3"/>
  <c r="S83" i="3"/>
  <c r="R83" i="3"/>
  <c r="Q83" i="3"/>
  <c r="P83" i="3"/>
  <c r="O83" i="3"/>
  <c r="N83" i="3"/>
  <c r="M83" i="3"/>
  <c r="L83" i="3"/>
  <c r="K83" i="3"/>
  <c r="J83" i="3"/>
  <c r="I83" i="3"/>
  <c r="H83" i="3"/>
  <c r="G83" i="3"/>
  <c r="F83" i="3"/>
  <c r="E83" i="3"/>
  <c r="D83" i="3"/>
  <c r="C83" i="3"/>
  <c r="C139" i="3"/>
  <c r="C137" i="3"/>
  <c r="B13" i="3"/>
  <c r="B5" i="3"/>
  <c r="C141" i="3" l="1"/>
  <c r="K3" i="2"/>
  <c r="K4" i="2"/>
  <c r="N4" i="2"/>
  <c r="M4" i="2"/>
  <c r="B20" i="4"/>
  <c r="K5" i="2" l="1"/>
  <c r="C140" i="3" s="1"/>
  <c r="C142" i="3" s="1"/>
  <c r="C143" i="3" s="1"/>
  <c r="C43" i="4"/>
  <c r="R63" i="3" s="1"/>
  <c r="C48" i="4"/>
  <c r="E6" i="4"/>
  <c r="E21" i="4"/>
  <c r="C20" i="4"/>
  <c r="F36" i="3"/>
  <c r="B17" i="3"/>
  <c r="B12" i="4"/>
  <c r="F112" i="3" l="1"/>
  <c r="C106" i="3"/>
  <c r="B123" i="3"/>
  <c r="B183" i="3"/>
  <c r="B107" i="3"/>
  <c r="B89" i="3"/>
  <c r="B75" i="3"/>
  <c r="B163" i="3"/>
  <c r="B38" i="4"/>
  <c r="B116" i="3"/>
  <c r="B98" i="3"/>
  <c r="B177" i="3"/>
  <c r="B172" i="3"/>
  <c r="B66" i="3"/>
  <c r="B154" i="3"/>
  <c r="AD3" i="2"/>
  <c r="B180" i="3"/>
  <c r="B146" i="3"/>
  <c r="B132" i="3"/>
  <c r="C145" i="3"/>
  <c r="B40" i="3"/>
  <c r="C46" i="4"/>
  <c r="C44" i="4" a="1"/>
  <c r="C44" i="4" s="1"/>
  <c r="C102" i="3"/>
  <c r="AA106" i="3"/>
  <c r="Z106" i="3"/>
  <c r="R106" i="3"/>
  <c r="J106" i="3"/>
  <c r="X106" i="3"/>
  <c r="F106" i="3"/>
  <c r="U106" i="3"/>
  <c r="K106" i="3"/>
  <c r="Y106" i="3"/>
  <c r="Q106" i="3"/>
  <c r="I106" i="3"/>
  <c r="P106" i="3"/>
  <c r="H106" i="3"/>
  <c r="M106" i="3"/>
  <c r="T106" i="3"/>
  <c r="L106" i="3"/>
  <c r="S106" i="3"/>
  <c r="W106" i="3"/>
  <c r="O106" i="3"/>
  <c r="G106" i="3"/>
  <c r="V106" i="3"/>
  <c r="N106" i="3"/>
  <c r="C160" i="3"/>
  <c r="N162" i="3" s="1"/>
  <c r="V145" i="3" l="1"/>
  <c r="N145" i="3"/>
  <c r="X145" i="3"/>
  <c r="G145" i="3"/>
  <c r="I145" i="3"/>
  <c r="S145" i="3"/>
  <c r="AA145" i="3"/>
  <c r="Q145" i="3"/>
  <c r="K145" i="3"/>
  <c r="O145" i="3"/>
  <c r="Y145" i="3"/>
  <c r="U145" i="3"/>
  <c r="W145" i="3"/>
  <c r="E145" i="3"/>
  <c r="Z145" i="3"/>
  <c r="M145" i="3"/>
  <c r="J145" i="3"/>
  <c r="D145" i="3"/>
  <c r="H145" i="3"/>
  <c r="R145" i="3"/>
  <c r="L145" i="3"/>
  <c r="F145" i="3"/>
  <c r="P145" i="3"/>
  <c r="T145" i="3"/>
  <c r="U162" i="3"/>
  <c r="O162" i="3"/>
  <c r="I162" i="3"/>
  <c r="E162" i="3"/>
  <c r="V162" i="3"/>
  <c r="H162" i="3"/>
  <c r="C162" i="3"/>
  <c r="M162" i="3"/>
  <c r="K162" i="3"/>
  <c r="J162" i="3"/>
  <c r="S162" i="3"/>
  <c r="G162" i="3"/>
  <c r="R162" i="3"/>
  <c r="AA162" i="3"/>
  <c r="X162" i="3"/>
  <c r="D162" i="3"/>
  <c r="Y162" i="3"/>
  <c r="Q162" i="3"/>
  <c r="Z162" i="3"/>
  <c r="W162" i="3"/>
  <c r="L162" i="3"/>
  <c r="F162" i="3"/>
  <c r="P162" i="3"/>
  <c r="T162" i="3"/>
  <c r="C80" i="3"/>
  <c r="C103" i="3"/>
  <c r="C94" i="3"/>
  <c r="C127" i="3" l="1"/>
  <c r="C53" i="3"/>
  <c r="C119" i="3"/>
  <c r="C157" i="3"/>
  <c r="C151" i="3"/>
  <c r="C150" i="3"/>
  <c r="C135" i="3"/>
  <c r="C111" i="3"/>
  <c r="C70" i="3" l="1"/>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AB5" i="2"/>
  <c r="AB4" i="2"/>
  <c r="AB3" i="2"/>
  <c r="AB2" i="2"/>
  <c r="C79" i="3"/>
  <c r="C47" i="4"/>
  <c r="C19" i="4"/>
  <c r="C81" i="3" s="1"/>
  <c r="E5" i="4"/>
  <c r="C169" i="3" l="1"/>
  <c r="C159" i="3"/>
  <c r="C57" i="4"/>
  <c r="C56" i="4" s="1"/>
  <c r="C167" i="3" s="1"/>
  <c r="Z120" i="3"/>
  <c r="Z113" i="3"/>
  <c r="Z112" i="3"/>
  <c r="T120" i="3"/>
  <c r="T113" i="3"/>
  <c r="T112" i="3"/>
  <c r="AA120" i="3"/>
  <c r="AA113" i="3"/>
  <c r="AA112" i="3"/>
  <c r="E113" i="3"/>
  <c r="E112" i="3"/>
  <c r="E120" i="3"/>
  <c r="M113" i="3"/>
  <c r="M112" i="3"/>
  <c r="M120" i="3"/>
  <c r="U113" i="3"/>
  <c r="U112" i="3"/>
  <c r="U120" i="3"/>
  <c r="R120" i="3"/>
  <c r="R113" i="3"/>
  <c r="R112" i="3"/>
  <c r="S120" i="3"/>
  <c r="S113" i="3"/>
  <c r="S112" i="3"/>
  <c r="F120" i="3"/>
  <c r="F113" i="3"/>
  <c r="V112" i="3"/>
  <c r="V120" i="3"/>
  <c r="V113" i="3"/>
  <c r="J120" i="3"/>
  <c r="J113" i="3"/>
  <c r="J112" i="3"/>
  <c r="C120" i="3"/>
  <c r="C113" i="3"/>
  <c r="C112" i="3"/>
  <c r="D120" i="3"/>
  <c r="D113" i="3"/>
  <c r="D112" i="3"/>
  <c r="G112" i="3"/>
  <c r="G113" i="3"/>
  <c r="G120" i="3"/>
  <c r="O113" i="3"/>
  <c r="O120" i="3"/>
  <c r="O112" i="3"/>
  <c r="W112" i="3"/>
  <c r="W120" i="3"/>
  <c r="W113" i="3"/>
  <c r="K120" i="3"/>
  <c r="K113" i="3"/>
  <c r="K112" i="3"/>
  <c r="L120" i="3"/>
  <c r="L113" i="3"/>
  <c r="L112" i="3"/>
  <c r="H120" i="3"/>
  <c r="H113" i="3"/>
  <c r="H112" i="3"/>
  <c r="P112" i="3"/>
  <c r="P120" i="3"/>
  <c r="P113" i="3"/>
  <c r="X112" i="3"/>
  <c r="X120" i="3"/>
  <c r="X113" i="3"/>
  <c r="N112" i="3"/>
  <c r="N120" i="3"/>
  <c r="N113" i="3"/>
  <c r="I120" i="3"/>
  <c r="I113" i="3"/>
  <c r="I112" i="3"/>
  <c r="Q120" i="3"/>
  <c r="Q113" i="3"/>
  <c r="Q112" i="3"/>
  <c r="Y120" i="3"/>
  <c r="Y113" i="3"/>
  <c r="Y112" i="3"/>
  <c r="C51" i="4"/>
  <c r="AA85" i="3"/>
  <c r="S85" i="3"/>
  <c r="K85" i="3"/>
  <c r="C85" i="3"/>
  <c r="Z85" i="3"/>
  <c r="R85" i="3"/>
  <c r="J85" i="3"/>
  <c r="C12" i="4"/>
  <c r="Y85" i="3"/>
  <c r="Q85" i="3"/>
  <c r="I85" i="3"/>
  <c r="X85" i="3"/>
  <c r="P85" i="3"/>
  <c r="H85" i="3"/>
  <c r="W85" i="3"/>
  <c r="O85" i="3"/>
  <c r="G85" i="3"/>
  <c r="D85" i="3"/>
  <c r="V85" i="3"/>
  <c r="N85" i="3"/>
  <c r="F85" i="3"/>
  <c r="U85" i="3"/>
  <c r="M85" i="3"/>
  <c r="E85" i="3"/>
  <c r="T85" i="3"/>
  <c r="L85" i="3"/>
  <c r="C86" i="3"/>
  <c r="C55" i="4"/>
  <c r="C166" i="3" s="1"/>
  <c r="J86" i="3"/>
  <c r="G86" i="3"/>
  <c r="O86" i="3"/>
  <c r="S86" i="3"/>
  <c r="W86" i="3"/>
  <c r="AA86" i="3"/>
  <c r="D86" i="3"/>
  <c r="H86" i="3"/>
  <c r="L86" i="3"/>
  <c r="P86" i="3"/>
  <c r="T86" i="3"/>
  <c r="X86" i="3"/>
  <c r="F86" i="3"/>
  <c r="N86" i="3"/>
  <c r="R86" i="3"/>
  <c r="V86" i="3"/>
  <c r="Z86" i="3"/>
  <c r="K86" i="3"/>
  <c r="E86" i="3"/>
  <c r="I86" i="3"/>
  <c r="M86" i="3"/>
  <c r="Q86" i="3"/>
  <c r="U86" i="3"/>
  <c r="Y86" i="3"/>
  <c r="C101" i="3"/>
  <c r="E146" i="3"/>
  <c r="C146" i="3"/>
  <c r="D146" i="3"/>
  <c r="D24" i="3" s="1"/>
  <c r="C61" i="3"/>
  <c r="D106" i="3"/>
  <c r="C93" i="3"/>
  <c r="E106" i="3"/>
  <c r="D129" i="3"/>
  <c r="C126" i="3"/>
  <c r="AA153" i="3"/>
  <c r="W153" i="3"/>
  <c r="K153" i="3"/>
  <c r="G153" i="3"/>
  <c r="C129" i="3"/>
  <c r="Z153" i="3"/>
  <c r="V153" i="3"/>
  <c r="R153" i="3"/>
  <c r="N153" i="3"/>
  <c r="J153" i="3"/>
  <c r="E153" i="3"/>
  <c r="C149" i="3"/>
  <c r="C158" i="3"/>
  <c r="T153" i="3"/>
  <c r="P153" i="3"/>
  <c r="H153" i="3"/>
  <c r="O153" i="3"/>
  <c r="F129" i="3"/>
  <c r="Y153" i="3"/>
  <c r="U153" i="3"/>
  <c r="Q153" i="3"/>
  <c r="M153" i="3"/>
  <c r="I153" i="3"/>
  <c r="D153" i="3"/>
  <c r="C136" i="3"/>
  <c r="E129" i="3"/>
  <c r="X153" i="3"/>
  <c r="L153" i="3"/>
  <c r="C153" i="3"/>
  <c r="S153" i="3"/>
  <c r="F153" i="3"/>
  <c r="E63" i="3"/>
  <c r="D72" i="3"/>
  <c r="C72" i="3"/>
  <c r="F63" i="3"/>
  <c r="E72" i="3"/>
  <c r="D63" i="3"/>
  <c r="C63" i="3"/>
  <c r="F72" i="3"/>
  <c r="O129" i="3"/>
  <c r="AA129" i="3"/>
  <c r="K129" i="3"/>
  <c r="S129" i="3"/>
  <c r="W129" i="3"/>
  <c r="H129" i="3"/>
  <c r="L129" i="3"/>
  <c r="P129" i="3"/>
  <c r="T129" i="3"/>
  <c r="X129" i="3"/>
  <c r="I129" i="3"/>
  <c r="M129" i="3"/>
  <c r="Q129" i="3"/>
  <c r="U129" i="3"/>
  <c r="Y129" i="3"/>
  <c r="C92" i="3"/>
  <c r="C110" i="3"/>
  <c r="J129" i="3"/>
  <c r="N129" i="3"/>
  <c r="R129" i="3"/>
  <c r="V129" i="3"/>
  <c r="Z129" i="3"/>
  <c r="C78" i="3"/>
  <c r="C62" i="3"/>
  <c r="G129" i="3"/>
  <c r="I57" i="3"/>
  <c r="Q57" i="3"/>
  <c r="Y57" i="3"/>
  <c r="F57" i="3"/>
  <c r="N57" i="3"/>
  <c r="V57" i="3"/>
  <c r="C57" i="3"/>
  <c r="G57" i="3"/>
  <c r="K57" i="3"/>
  <c r="O57" i="3"/>
  <c r="S57" i="3"/>
  <c r="W57" i="3"/>
  <c r="AA57" i="3"/>
  <c r="E57" i="3"/>
  <c r="M57" i="3"/>
  <c r="U57" i="3"/>
  <c r="J57" i="3"/>
  <c r="R57" i="3"/>
  <c r="Z57" i="3"/>
  <c r="D57" i="3"/>
  <c r="H57" i="3"/>
  <c r="L57" i="3"/>
  <c r="P57" i="3"/>
  <c r="T57" i="3"/>
  <c r="X57" i="3"/>
  <c r="W72" i="3"/>
  <c r="S72" i="3"/>
  <c r="R72" i="3"/>
  <c r="J72" i="3"/>
  <c r="Z72" i="3"/>
  <c r="K72" i="3"/>
  <c r="AA72" i="3"/>
  <c r="C69" i="3"/>
  <c r="N72" i="3"/>
  <c r="V72" i="3"/>
  <c r="G72" i="3"/>
  <c r="O72" i="3"/>
  <c r="H72" i="3"/>
  <c r="L72" i="3"/>
  <c r="P72" i="3"/>
  <c r="T72" i="3"/>
  <c r="X72" i="3"/>
  <c r="I72" i="3"/>
  <c r="M72" i="3"/>
  <c r="Q72" i="3"/>
  <c r="U72" i="3"/>
  <c r="Y72" i="3"/>
  <c r="I63" i="3"/>
  <c r="M63" i="3"/>
  <c r="Q63" i="3"/>
  <c r="U63" i="3"/>
  <c r="Y63" i="3"/>
  <c r="J63" i="3"/>
  <c r="N63" i="3"/>
  <c r="V63" i="3"/>
  <c r="Z63" i="3"/>
  <c r="G63" i="3"/>
  <c r="K63" i="3"/>
  <c r="O63" i="3"/>
  <c r="S63" i="3"/>
  <c r="W63" i="3"/>
  <c r="AA63" i="3"/>
  <c r="H63" i="3"/>
  <c r="L63" i="3"/>
  <c r="P63" i="3"/>
  <c r="T63" i="3"/>
  <c r="X63" i="3"/>
  <c r="K46" i="3" l="1"/>
  <c r="V46" i="3"/>
  <c r="G45" i="3"/>
  <c r="R45" i="3"/>
  <c r="P46" i="3"/>
  <c r="L45" i="3"/>
  <c r="Q46" i="3"/>
  <c r="Y45" i="3"/>
  <c r="D45" i="3"/>
  <c r="I46" i="3"/>
  <c r="Q45" i="3"/>
  <c r="L46" i="3"/>
  <c r="W46" i="3"/>
  <c r="H45" i="3"/>
  <c r="S45" i="3"/>
  <c r="X45" i="3"/>
  <c r="C45" i="3"/>
  <c r="AA45" i="3"/>
  <c r="F45" i="3"/>
  <c r="M46" i="3"/>
  <c r="X46" i="3"/>
  <c r="I45" i="3"/>
  <c r="T45" i="3"/>
  <c r="E46" i="3"/>
  <c r="F46" i="3"/>
  <c r="M45" i="3"/>
  <c r="R46" i="3"/>
  <c r="S46" i="3"/>
  <c r="P45" i="3"/>
  <c r="J46" i="3"/>
  <c r="N46" i="3"/>
  <c r="Y46" i="3"/>
  <c r="J45" i="3"/>
  <c r="U45" i="3"/>
  <c r="W45" i="3"/>
  <c r="C46" i="3"/>
  <c r="G46" i="3"/>
  <c r="Z45" i="3"/>
  <c r="E45" i="3"/>
  <c r="U46" i="3"/>
  <c r="D46" i="3"/>
  <c r="O46" i="3"/>
  <c r="Z46" i="3"/>
  <c r="K45" i="3"/>
  <c r="V45" i="3"/>
  <c r="AA46" i="3"/>
  <c r="N45" i="3"/>
  <c r="H46" i="3"/>
  <c r="O45" i="3"/>
  <c r="T46" i="3"/>
  <c r="S154" i="3"/>
  <c r="S25" i="3" s="1"/>
  <c r="P107" i="3"/>
  <c r="P10" i="3" s="1"/>
  <c r="P146" i="3"/>
  <c r="V107" i="3"/>
  <c r="V10" i="3" s="1"/>
  <c r="V146" i="3"/>
  <c r="X107" i="3"/>
  <c r="X10" i="3" s="1"/>
  <c r="X146" i="3"/>
  <c r="I107" i="3"/>
  <c r="I10" i="3" s="1"/>
  <c r="I146" i="3"/>
  <c r="Z107" i="3"/>
  <c r="Z10" i="3" s="1"/>
  <c r="Z146" i="3"/>
  <c r="H107" i="3"/>
  <c r="H10" i="3" s="1"/>
  <c r="H146" i="3"/>
  <c r="M107" i="3"/>
  <c r="M10" i="3" s="1"/>
  <c r="M146" i="3"/>
  <c r="U107" i="3"/>
  <c r="U10" i="3" s="1"/>
  <c r="U146" i="3"/>
  <c r="L107" i="3"/>
  <c r="L10" i="3" s="1"/>
  <c r="L146" i="3"/>
  <c r="Q107" i="3"/>
  <c r="Q10" i="3" s="1"/>
  <c r="Q146" i="3"/>
  <c r="T107" i="3"/>
  <c r="T10" i="3" s="1"/>
  <c r="T146" i="3"/>
  <c r="K107" i="3"/>
  <c r="K10" i="3" s="1"/>
  <c r="K146" i="3"/>
  <c r="Y107" i="3"/>
  <c r="Y10" i="3" s="1"/>
  <c r="Y146" i="3"/>
  <c r="R107" i="3"/>
  <c r="R10" i="3" s="1"/>
  <c r="R146" i="3"/>
  <c r="G107" i="3"/>
  <c r="G10" i="3" s="1"/>
  <c r="G146" i="3"/>
  <c r="S107" i="3"/>
  <c r="S10" i="3" s="1"/>
  <c r="S146" i="3"/>
  <c r="F107" i="3"/>
  <c r="F10" i="3" s="1"/>
  <c r="F146" i="3"/>
  <c r="W107" i="3"/>
  <c r="W10" i="3" s="1"/>
  <c r="W146" i="3"/>
  <c r="N107" i="3"/>
  <c r="N10" i="3" s="1"/>
  <c r="N146" i="3"/>
  <c r="O107" i="3"/>
  <c r="O10" i="3" s="1"/>
  <c r="O146" i="3"/>
  <c r="AA107" i="3"/>
  <c r="AA10" i="3" s="1"/>
  <c r="AA146" i="3"/>
  <c r="J107" i="3"/>
  <c r="J10" i="3" s="1"/>
  <c r="J146" i="3"/>
  <c r="W128" i="3"/>
  <c r="O128" i="3"/>
  <c r="G128" i="3"/>
  <c r="X84" i="3"/>
  <c r="P84" i="3"/>
  <c r="H84" i="3"/>
  <c r="Z71" i="3"/>
  <c r="R71" i="3"/>
  <c r="J71" i="3"/>
  <c r="AA56" i="3"/>
  <c r="S56" i="3"/>
  <c r="K56" i="3"/>
  <c r="C56" i="3"/>
  <c r="Z128" i="3"/>
  <c r="R128" i="3"/>
  <c r="J128" i="3"/>
  <c r="K84" i="3"/>
  <c r="C84" i="3"/>
  <c r="C88" i="3" s="1"/>
  <c r="E71" i="3"/>
  <c r="E74" i="3" s="1"/>
  <c r="E75" i="3" s="1"/>
  <c r="V56" i="3"/>
  <c r="Y128" i="3"/>
  <c r="I128" i="3"/>
  <c r="D71" i="3"/>
  <c r="D74" i="3" s="1"/>
  <c r="H128" i="3"/>
  <c r="S71" i="3"/>
  <c r="D56" i="3"/>
  <c r="V128" i="3"/>
  <c r="N128" i="3"/>
  <c r="F128" i="3"/>
  <c r="W84" i="3"/>
  <c r="O84" i="3"/>
  <c r="G84" i="3"/>
  <c r="Y71" i="3"/>
  <c r="Q71" i="3"/>
  <c r="I71" i="3"/>
  <c r="Z56" i="3"/>
  <c r="R56" i="3"/>
  <c r="J56" i="3"/>
  <c r="Y56" i="3"/>
  <c r="I56" i="3"/>
  <c r="H56" i="3"/>
  <c r="J84" i="3"/>
  <c r="U56" i="3"/>
  <c r="P128" i="3"/>
  <c r="I84" i="3"/>
  <c r="T56" i="3"/>
  <c r="U128" i="3"/>
  <c r="M128" i="3"/>
  <c r="E128" i="3"/>
  <c r="V84" i="3"/>
  <c r="N84" i="3"/>
  <c r="F84" i="3"/>
  <c r="F88" i="3" s="1"/>
  <c r="X71" i="3"/>
  <c r="P71" i="3"/>
  <c r="H71" i="3"/>
  <c r="Q56" i="3"/>
  <c r="R84" i="3"/>
  <c r="E56" i="3"/>
  <c r="X128" i="3"/>
  <c r="Y84" i="3"/>
  <c r="K71" i="3"/>
  <c r="T128" i="3"/>
  <c r="L128" i="3"/>
  <c r="D128" i="3"/>
  <c r="U84" i="3"/>
  <c r="U88" i="3" s="1"/>
  <c r="U89" i="3" s="1"/>
  <c r="U8" i="3" s="1"/>
  <c r="M84" i="3"/>
  <c r="E84" i="3"/>
  <c r="W71" i="3"/>
  <c r="O71" i="3"/>
  <c r="G71" i="3"/>
  <c r="X56" i="3"/>
  <c r="P56" i="3"/>
  <c r="AA84" i="3"/>
  <c r="M71" i="3"/>
  <c r="F56" i="3"/>
  <c r="Q128" i="3"/>
  <c r="T71" i="3"/>
  <c r="T74" i="3" s="1"/>
  <c r="T75" i="3" s="1"/>
  <c r="M56" i="3"/>
  <c r="Q84" i="3"/>
  <c r="Q88" i="3" s="1"/>
  <c r="C71" i="3"/>
  <c r="AA128" i="3"/>
  <c r="S128" i="3"/>
  <c r="K128" i="3"/>
  <c r="C128" i="3"/>
  <c r="T84" i="3"/>
  <c r="L84" i="3"/>
  <c r="D84" i="3"/>
  <c r="D88" i="3" s="1"/>
  <c r="V71" i="3"/>
  <c r="N71" i="3"/>
  <c r="F71" i="3"/>
  <c r="W56" i="3"/>
  <c r="O56" i="3"/>
  <c r="G56" i="3"/>
  <c r="S84" i="3"/>
  <c r="U71" i="3"/>
  <c r="N56" i="3"/>
  <c r="Z84" i="3"/>
  <c r="L71" i="3"/>
  <c r="AA71" i="3"/>
  <c r="L56" i="3"/>
  <c r="J154" i="3"/>
  <c r="J25" i="3" s="1"/>
  <c r="M154" i="3"/>
  <c r="M25" i="3" s="1"/>
  <c r="C171" i="3"/>
  <c r="C172" i="3" s="1"/>
  <c r="Y171" i="3"/>
  <c r="Y172" i="3" s="1"/>
  <c r="I171" i="3"/>
  <c r="I172" i="3" s="1"/>
  <c r="V171" i="3"/>
  <c r="V172" i="3" s="1"/>
  <c r="X171" i="3"/>
  <c r="X172" i="3" s="1"/>
  <c r="H171" i="3"/>
  <c r="H172" i="3" s="1"/>
  <c r="S171" i="3"/>
  <c r="S172" i="3" s="1"/>
  <c r="C168" i="3"/>
  <c r="Q171" i="3"/>
  <c r="Q172" i="3" s="1"/>
  <c r="K171" i="3"/>
  <c r="K172" i="3" s="1"/>
  <c r="N171" i="3"/>
  <c r="N172" i="3" s="1"/>
  <c r="P171" i="3"/>
  <c r="P172" i="3" s="1"/>
  <c r="AA171" i="3"/>
  <c r="AA172" i="3" s="1"/>
  <c r="G171" i="3"/>
  <c r="G172" i="3" s="1"/>
  <c r="M171" i="3"/>
  <c r="M172" i="3" s="1"/>
  <c r="Z171" i="3"/>
  <c r="Z172" i="3" s="1"/>
  <c r="F171" i="3"/>
  <c r="F172" i="3" s="1"/>
  <c r="L171" i="3"/>
  <c r="L172" i="3" s="1"/>
  <c r="L27" i="3" s="1"/>
  <c r="W171" i="3"/>
  <c r="W172" i="3" s="1"/>
  <c r="J171" i="3"/>
  <c r="J172" i="3" s="1"/>
  <c r="U171" i="3"/>
  <c r="U172" i="3" s="1"/>
  <c r="E171" i="3"/>
  <c r="E172" i="3" s="1"/>
  <c r="R171" i="3"/>
  <c r="R172" i="3" s="1"/>
  <c r="T171" i="3"/>
  <c r="T172" i="3" s="1"/>
  <c r="D171" i="3"/>
  <c r="D172" i="3" s="1"/>
  <c r="O171" i="3"/>
  <c r="O172" i="3" s="1"/>
  <c r="R154" i="3"/>
  <c r="R25" i="3" s="1"/>
  <c r="T154" i="3"/>
  <c r="T25" i="3" s="1"/>
  <c r="Z154" i="3"/>
  <c r="Z25" i="3" s="1"/>
  <c r="G154" i="3"/>
  <c r="G25" i="3" s="1"/>
  <c r="L154" i="3"/>
  <c r="L25" i="3" s="1"/>
  <c r="U154" i="3"/>
  <c r="U25" i="3" s="1"/>
  <c r="C154" i="3"/>
  <c r="C25" i="3" s="1"/>
  <c r="Q154" i="3"/>
  <c r="Q25" i="3" s="1"/>
  <c r="Y154" i="3"/>
  <c r="Y25" i="3" s="1"/>
  <c r="K154" i="3"/>
  <c r="K25" i="3" s="1"/>
  <c r="H154" i="3"/>
  <c r="H25" i="3" s="1"/>
  <c r="X154" i="3"/>
  <c r="X25" i="3" s="1"/>
  <c r="E154" i="3"/>
  <c r="E25" i="3" s="1"/>
  <c r="O154" i="3"/>
  <c r="O25" i="3" s="1"/>
  <c r="N154" i="3"/>
  <c r="N25" i="3" s="1"/>
  <c r="AA154" i="3"/>
  <c r="AA25" i="3" s="1"/>
  <c r="W154" i="3"/>
  <c r="W25" i="3" s="1"/>
  <c r="D154" i="3"/>
  <c r="D25" i="3" s="1"/>
  <c r="F154" i="3"/>
  <c r="F25" i="3" s="1"/>
  <c r="I154" i="3"/>
  <c r="I25" i="3" s="1"/>
  <c r="P154" i="3"/>
  <c r="P25" i="3" s="1"/>
  <c r="V154" i="3"/>
  <c r="V25" i="3" s="1"/>
  <c r="E107" i="3"/>
  <c r="E10" i="3" s="1"/>
  <c r="C107" i="3"/>
  <c r="C10" i="3" s="1"/>
  <c r="D107" i="3"/>
  <c r="D10" i="3" s="1"/>
  <c r="V163" i="3"/>
  <c r="N163" i="3"/>
  <c r="C55" i="3"/>
  <c r="X163" i="3"/>
  <c r="Y163" i="3"/>
  <c r="K163" i="3"/>
  <c r="L163" i="3"/>
  <c r="U163" i="3"/>
  <c r="Z163" i="3"/>
  <c r="AA163" i="3"/>
  <c r="S163" i="3"/>
  <c r="I163" i="3"/>
  <c r="O163" i="3"/>
  <c r="J163" i="3"/>
  <c r="W163" i="3"/>
  <c r="M163" i="3"/>
  <c r="T163" i="3"/>
  <c r="H163" i="3"/>
  <c r="Q163" i="3"/>
  <c r="G163" i="3"/>
  <c r="P163" i="3"/>
  <c r="R163" i="3"/>
  <c r="C45" i="4"/>
  <c r="D33" i="3" l="1"/>
  <c r="V74" i="3"/>
  <c r="V75" i="3" s="1"/>
  <c r="V7" i="3" s="1"/>
  <c r="L131" i="3"/>
  <c r="L132" i="3" s="1"/>
  <c r="L19" i="3" s="1"/>
  <c r="U131" i="3"/>
  <c r="U132" i="3" s="1"/>
  <c r="U19" i="3" s="1"/>
  <c r="D75" i="3"/>
  <c r="D7" i="3" s="1"/>
  <c r="R131" i="3"/>
  <c r="R132" i="3" s="1"/>
  <c r="R19" i="3" s="1"/>
  <c r="Z74" i="3"/>
  <c r="Z75" i="3" s="1"/>
  <c r="Z7" i="3" s="1"/>
  <c r="G74" i="3"/>
  <c r="G75" i="3" s="1"/>
  <c r="G7" i="3" s="1"/>
  <c r="T131" i="3"/>
  <c r="T132" i="3" s="1"/>
  <c r="T19" i="3" s="1"/>
  <c r="P74" i="3"/>
  <c r="P75" i="3" s="1"/>
  <c r="P7" i="3" s="1"/>
  <c r="I131" i="3"/>
  <c r="I132" i="3" s="1"/>
  <c r="I19" i="3" s="1"/>
  <c r="Z131" i="3"/>
  <c r="Z132" i="3" s="1"/>
  <c r="Z19" i="3" s="1"/>
  <c r="R74" i="3"/>
  <c r="R75" i="3" s="1"/>
  <c r="R7" i="3" s="1"/>
  <c r="O74" i="3"/>
  <c r="O75" i="3" s="1"/>
  <c r="O7" i="3" s="1"/>
  <c r="K74" i="3"/>
  <c r="K75" i="3" s="1"/>
  <c r="K7" i="3" s="1"/>
  <c r="X74" i="3"/>
  <c r="X75" i="3" s="1"/>
  <c r="X7" i="3" s="1"/>
  <c r="F131" i="3"/>
  <c r="F132" i="3" s="1"/>
  <c r="F19" i="3" s="1"/>
  <c r="Y131" i="3"/>
  <c r="Y132" i="3" s="1"/>
  <c r="Y19" i="3" s="1"/>
  <c r="C131" i="3"/>
  <c r="C132" i="3" s="1"/>
  <c r="C19" i="3" s="1"/>
  <c r="Q131" i="3"/>
  <c r="Q132" i="3" s="1"/>
  <c r="Q19" i="3" s="1"/>
  <c r="W74" i="3"/>
  <c r="W75" i="3" s="1"/>
  <c r="W7" i="3" s="1"/>
  <c r="P131" i="3"/>
  <c r="P132" i="3" s="1"/>
  <c r="P19" i="3" s="1"/>
  <c r="N131" i="3"/>
  <c r="N132" i="3" s="1"/>
  <c r="N19" i="3" s="1"/>
  <c r="C74" i="3"/>
  <c r="C75" i="3" s="1"/>
  <c r="C7" i="3" s="1"/>
  <c r="H131" i="3"/>
  <c r="H132" i="3" s="1"/>
  <c r="H19" i="3" s="1"/>
  <c r="U74" i="3"/>
  <c r="U75" i="3" s="1"/>
  <c r="U7" i="3" s="1"/>
  <c r="AA74" i="3"/>
  <c r="AA75" i="3" s="1"/>
  <c r="AA7" i="3" s="1"/>
  <c r="K131" i="3"/>
  <c r="K132" i="3" s="1"/>
  <c r="K19" i="3" s="1"/>
  <c r="X131" i="3"/>
  <c r="X132" i="3" s="1"/>
  <c r="X19" i="3" s="1"/>
  <c r="I74" i="3"/>
  <c r="I75" i="3" s="1"/>
  <c r="I7" i="3" s="1"/>
  <c r="V131" i="3"/>
  <c r="V132" i="3" s="1"/>
  <c r="V19" i="3" s="1"/>
  <c r="E7" i="3"/>
  <c r="G131" i="3"/>
  <c r="G132" i="3" s="1"/>
  <c r="G19" i="3" s="1"/>
  <c r="D131" i="3"/>
  <c r="D132" i="3" s="1"/>
  <c r="D19" i="3" s="1"/>
  <c r="L74" i="3"/>
  <c r="L75" i="3" s="1"/>
  <c r="L7" i="3" s="1"/>
  <c r="F74" i="3"/>
  <c r="F75" i="3" s="1"/>
  <c r="F7" i="3" s="1"/>
  <c r="S131" i="3"/>
  <c r="S132" i="3" s="1"/>
  <c r="S19" i="3" s="1"/>
  <c r="M74" i="3"/>
  <c r="M75" i="3" s="1"/>
  <c r="M7" i="3" s="1"/>
  <c r="Q74" i="3"/>
  <c r="Q75" i="3" s="1"/>
  <c r="Q7" i="3" s="1"/>
  <c r="O131" i="3"/>
  <c r="O132" i="3" s="1"/>
  <c r="O19" i="3" s="1"/>
  <c r="M131" i="3"/>
  <c r="M132" i="3" s="1"/>
  <c r="M19" i="3" s="1"/>
  <c r="J131" i="3"/>
  <c r="J132" i="3" s="1"/>
  <c r="J19" i="3" s="1"/>
  <c r="H74" i="3"/>
  <c r="H75" i="3" s="1"/>
  <c r="H7" i="3" s="1"/>
  <c r="N74" i="3"/>
  <c r="N75" i="3" s="1"/>
  <c r="N7" i="3" s="1"/>
  <c r="AA131" i="3"/>
  <c r="AA132" i="3" s="1"/>
  <c r="AA19" i="3" s="1"/>
  <c r="E131" i="3"/>
  <c r="E132" i="3" s="1"/>
  <c r="E19" i="3" s="1"/>
  <c r="Y74" i="3"/>
  <c r="Y75" i="3" s="1"/>
  <c r="Y7" i="3" s="1"/>
  <c r="S74" i="3"/>
  <c r="S75" i="3" s="1"/>
  <c r="S7" i="3" s="1"/>
  <c r="J74" i="3"/>
  <c r="J75" i="3" s="1"/>
  <c r="J7" i="3" s="1"/>
  <c r="W131" i="3"/>
  <c r="W132" i="3" s="1"/>
  <c r="W19" i="3" s="1"/>
  <c r="T7" i="3"/>
  <c r="X88" i="3"/>
  <c r="X89" i="3" s="1"/>
  <c r="X8" i="3" s="1"/>
  <c r="L88" i="3"/>
  <c r="L89" i="3" s="1"/>
  <c r="L8" i="3" s="1"/>
  <c r="I88" i="3"/>
  <c r="I89" i="3" s="1"/>
  <c r="I8" i="3" s="1"/>
  <c r="V88" i="3"/>
  <c r="V89" i="3" s="1"/>
  <c r="V8" i="3" s="1"/>
  <c r="Z88" i="3"/>
  <c r="Z89" i="3" s="1"/>
  <c r="Z8" i="3" s="1"/>
  <c r="Y88" i="3"/>
  <c r="Y89" i="3" s="1"/>
  <c r="Y8" i="3" s="1"/>
  <c r="T88" i="3"/>
  <c r="T89" i="3" s="1"/>
  <c r="T8" i="3" s="1"/>
  <c r="O88" i="3"/>
  <c r="O89" i="3" s="1"/>
  <c r="O8" i="3" s="1"/>
  <c r="P88" i="3"/>
  <c r="P89" i="3" s="1"/>
  <c r="P8" i="3" s="1"/>
  <c r="J88" i="3"/>
  <c r="J89" i="3" s="1"/>
  <c r="J8" i="3" s="1"/>
  <c r="H88" i="3"/>
  <c r="H89" i="3" s="1"/>
  <c r="H8" i="3" s="1"/>
  <c r="R88" i="3"/>
  <c r="R89" i="3" s="1"/>
  <c r="R8" i="3" s="1"/>
  <c r="M88" i="3"/>
  <c r="M89" i="3" s="1"/>
  <c r="M8" i="3" s="1"/>
  <c r="W88" i="3"/>
  <c r="W89" i="3" s="1"/>
  <c r="W8" i="3" s="1"/>
  <c r="K88" i="3"/>
  <c r="K89" i="3" s="1"/>
  <c r="K8" i="3" s="1"/>
  <c r="E88" i="3"/>
  <c r="E89" i="3" s="1"/>
  <c r="E8" i="3" s="1"/>
  <c r="N88" i="3"/>
  <c r="N89" i="3" s="1"/>
  <c r="N8" i="3" s="1"/>
  <c r="G88" i="3"/>
  <c r="G89" i="3" s="1"/>
  <c r="G8" i="3" s="1"/>
  <c r="AA88" i="3"/>
  <c r="AA89" i="3" s="1"/>
  <c r="AA8" i="3" s="1"/>
  <c r="S88" i="3"/>
  <c r="S89" i="3" s="1"/>
  <c r="S8" i="3" s="1"/>
  <c r="P58" i="3"/>
  <c r="C58" i="3"/>
  <c r="J58" i="3"/>
  <c r="T58" i="3"/>
  <c r="M58" i="3"/>
  <c r="Z58" i="3"/>
  <c r="AA58" i="3"/>
  <c r="X58" i="3"/>
  <c r="L58" i="3"/>
  <c r="S58" i="3"/>
  <c r="U58" i="3"/>
  <c r="V58" i="3"/>
  <c r="D58" i="3"/>
  <c r="H58" i="3"/>
  <c r="Y58" i="3"/>
  <c r="K58" i="3"/>
  <c r="R58" i="3"/>
  <c r="N58" i="3"/>
  <c r="O58" i="3"/>
  <c r="E58" i="3"/>
  <c r="E97" i="3" s="1"/>
  <c r="E98" i="3" s="1"/>
  <c r="W58" i="3"/>
  <c r="I58" i="3"/>
  <c r="F58" i="3"/>
  <c r="Q58" i="3"/>
  <c r="G58" i="3"/>
  <c r="F163" i="3"/>
  <c r="F26" i="3" s="1"/>
  <c r="E163" i="3"/>
  <c r="E26" i="3" s="1"/>
  <c r="C163" i="3"/>
  <c r="C26" i="3" s="1"/>
  <c r="D163" i="3"/>
  <c r="D26" i="3" s="1"/>
  <c r="F89" i="3"/>
  <c r="F8" i="3" s="1"/>
  <c r="C89" i="3"/>
  <c r="C8" i="3" s="1"/>
  <c r="D89" i="3"/>
  <c r="D8" i="3" s="1"/>
  <c r="Q89" i="3"/>
  <c r="Q8" i="3" s="1"/>
  <c r="U33" i="3"/>
  <c r="H33" i="3"/>
  <c r="Y33" i="3"/>
  <c r="N33" i="3"/>
  <c r="V33" i="3"/>
  <c r="C33" i="3"/>
  <c r="K33" i="3"/>
  <c r="AA33" i="3"/>
  <c r="P33" i="3"/>
  <c r="L33" i="3"/>
  <c r="J33" i="3"/>
  <c r="O33" i="3"/>
  <c r="E33" i="3"/>
  <c r="X33" i="3"/>
  <c r="I33" i="3"/>
  <c r="T33" i="3"/>
  <c r="F33" i="3"/>
  <c r="R33" i="3"/>
  <c r="S33" i="3"/>
  <c r="M33" i="3"/>
  <c r="Q33" i="3"/>
  <c r="Z33" i="3"/>
  <c r="G33" i="3"/>
  <c r="W33" i="3"/>
  <c r="S27" i="3"/>
  <c r="N27" i="3"/>
  <c r="L26" i="3"/>
  <c r="O26" i="3"/>
  <c r="P26" i="3"/>
  <c r="P27" i="3"/>
  <c r="J27" i="3"/>
  <c r="AA27" i="3"/>
  <c r="V26" i="3"/>
  <c r="K26" i="3"/>
  <c r="X27" i="3"/>
  <c r="O27" i="3"/>
  <c r="Q27" i="3"/>
  <c r="H27" i="3"/>
  <c r="J26" i="3"/>
  <c r="X26" i="3"/>
  <c r="R26" i="3"/>
  <c r="M26" i="3"/>
  <c r="G26" i="3"/>
  <c r="D27" i="3"/>
  <c r="K27" i="3"/>
  <c r="U27" i="3"/>
  <c r="R27" i="3"/>
  <c r="E27" i="3"/>
  <c r="I26" i="3"/>
  <c r="AA26" i="3"/>
  <c r="Z26" i="3"/>
  <c r="V27" i="3"/>
  <c r="I27" i="3"/>
  <c r="F27" i="3"/>
  <c r="U26" i="3"/>
  <c r="Q26" i="3"/>
  <c r="W26" i="3"/>
  <c r="M27" i="3"/>
  <c r="G27" i="3"/>
  <c r="T27" i="3"/>
  <c r="Y27" i="3"/>
  <c r="W27" i="3"/>
  <c r="S26" i="3"/>
  <c r="H26" i="3"/>
  <c r="T26" i="3"/>
  <c r="N26" i="3"/>
  <c r="Y26" i="3"/>
  <c r="C54" i="3"/>
  <c r="W122" i="3" l="1"/>
  <c r="W123" i="3" s="1"/>
  <c r="W115" i="3"/>
  <c r="W116" i="3" s="1"/>
  <c r="W65" i="3"/>
  <c r="W66" i="3" s="1"/>
  <c r="M65" i="3"/>
  <c r="M66" i="3" s="1"/>
  <c r="M122" i="3"/>
  <c r="M123" i="3" s="1"/>
  <c r="M115" i="3"/>
  <c r="M116" i="3" s="1"/>
  <c r="C65" i="3"/>
  <c r="C66" i="3" s="1"/>
  <c r="C122" i="3"/>
  <c r="C123" i="3" s="1"/>
  <c r="C115" i="3"/>
  <c r="C116" i="3" s="1"/>
  <c r="G122" i="3"/>
  <c r="G123" i="3" s="1"/>
  <c r="G115" i="3"/>
  <c r="G116" i="3" s="1"/>
  <c r="G65" i="3"/>
  <c r="G66" i="3" s="1"/>
  <c r="L65" i="3"/>
  <c r="L66" i="3" s="1"/>
  <c r="L122" i="3"/>
  <c r="L123" i="3" s="1"/>
  <c r="L115" i="3"/>
  <c r="L116" i="3" s="1"/>
  <c r="K65" i="3"/>
  <c r="K66" i="3" s="1"/>
  <c r="K122" i="3"/>
  <c r="K123" i="3" s="1"/>
  <c r="K115" i="3"/>
  <c r="K116" i="3" s="1"/>
  <c r="X122" i="3"/>
  <c r="X123" i="3" s="1"/>
  <c r="X115" i="3"/>
  <c r="X116" i="3" s="1"/>
  <c r="X65" i="3"/>
  <c r="X66" i="3" s="1"/>
  <c r="F122" i="3"/>
  <c r="F123" i="3" s="1"/>
  <c r="F65" i="3"/>
  <c r="F66" i="3" s="1"/>
  <c r="F115" i="3"/>
  <c r="F116" i="3" s="1"/>
  <c r="Y115" i="3"/>
  <c r="Y116" i="3" s="1"/>
  <c r="Y65" i="3"/>
  <c r="Y66" i="3" s="1"/>
  <c r="Y122" i="3"/>
  <c r="Y123" i="3" s="1"/>
  <c r="AA65" i="3"/>
  <c r="AA66" i="3" s="1"/>
  <c r="AA122" i="3"/>
  <c r="AA123" i="3" s="1"/>
  <c r="AA115" i="3"/>
  <c r="AA116" i="3" s="1"/>
  <c r="S65" i="3"/>
  <c r="S66" i="3" s="1"/>
  <c r="S122" i="3"/>
  <c r="S123" i="3" s="1"/>
  <c r="S115" i="3"/>
  <c r="S116" i="3" s="1"/>
  <c r="R115" i="3"/>
  <c r="R116" i="3" s="1"/>
  <c r="R65" i="3"/>
  <c r="R66" i="3" s="1"/>
  <c r="R122" i="3"/>
  <c r="R123" i="3" s="1"/>
  <c r="P122" i="3"/>
  <c r="P123" i="3" s="1"/>
  <c r="P115" i="3"/>
  <c r="P116" i="3" s="1"/>
  <c r="P65" i="3"/>
  <c r="P66" i="3" s="1"/>
  <c r="Q115" i="3"/>
  <c r="Q116" i="3" s="1"/>
  <c r="Q65" i="3"/>
  <c r="Q66" i="3" s="1"/>
  <c r="Q122" i="3"/>
  <c r="Q123" i="3" s="1"/>
  <c r="I115" i="3"/>
  <c r="I116" i="3" s="1"/>
  <c r="I65" i="3"/>
  <c r="I66" i="3" s="1"/>
  <c r="I122" i="3"/>
  <c r="I123" i="3" s="1"/>
  <c r="H122" i="3"/>
  <c r="H123" i="3" s="1"/>
  <c r="H115" i="3"/>
  <c r="H116" i="3" s="1"/>
  <c r="H65" i="3"/>
  <c r="H66" i="3" s="1"/>
  <c r="Z115" i="3"/>
  <c r="Z116" i="3" s="1"/>
  <c r="Z65" i="3"/>
  <c r="Z66" i="3" s="1"/>
  <c r="Z122" i="3"/>
  <c r="Z123" i="3" s="1"/>
  <c r="D65" i="3"/>
  <c r="D122" i="3"/>
  <c r="D123" i="3" s="1"/>
  <c r="D115" i="3"/>
  <c r="D116" i="3" s="1"/>
  <c r="E65" i="3"/>
  <c r="E66" i="3" s="1"/>
  <c r="E122" i="3"/>
  <c r="E123" i="3" s="1"/>
  <c r="E115" i="3"/>
  <c r="E116" i="3" s="1"/>
  <c r="V122" i="3"/>
  <c r="V123" i="3" s="1"/>
  <c r="V65" i="3"/>
  <c r="V66" i="3" s="1"/>
  <c r="V115" i="3"/>
  <c r="V116" i="3" s="1"/>
  <c r="T65" i="3"/>
  <c r="T66" i="3" s="1"/>
  <c r="T122" i="3"/>
  <c r="T123" i="3" s="1"/>
  <c r="T115" i="3"/>
  <c r="T116" i="3" s="1"/>
  <c r="O122" i="3"/>
  <c r="O123" i="3" s="1"/>
  <c r="O115" i="3"/>
  <c r="O116" i="3" s="1"/>
  <c r="O65" i="3"/>
  <c r="O66" i="3" s="1"/>
  <c r="U65" i="3"/>
  <c r="U66" i="3" s="1"/>
  <c r="U122" i="3"/>
  <c r="U123" i="3" s="1"/>
  <c r="U115" i="3"/>
  <c r="U116" i="3" s="1"/>
  <c r="J115" i="3"/>
  <c r="J116" i="3" s="1"/>
  <c r="J65" i="3"/>
  <c r="J66" i="3" s="1"/>
  <c r="J122" i="3"/>
  <c r="J123" i="3" s="1"/>
  <c r="N122" i="3"/>
  <c r="N123" i="3" s="1"/>
  <c r="N115" i="3"/>
  <c r="N116" i="3" s="1"/>
  <c r="N65" i="3"/>
  <c r="N66" i="3" s="1"/>
  <c r="N4" i="3"/>
  <c r="S4" i="3"/>
  <c r="C4" i="3"/>
  <c r="U4" i="3"/>
  <c r="G4" i="3"/>
  <c r="R4" i="3"/>
  <c r="L4" i="3"/>
  <c r="P4" i="3"/>
  <c r="Q4" i="3"/>
  <c r="K4" i="3"/>
  <c r="X4" i="3"/>
  <c r="J4" i="3"/>
  <c r="F4" i="3"/>
  <c r="Y4" i="3"/>
  <c r="AA4" i="3"/>
  <c r="H4" i="3"/>
  <c r="Z4" i="3"/>
  <c r="I4" i="3"/>
  <c r="W4" i="3"/>
  <c r="D4" i="3"/>
  <c r="M4" i="3"/>
  <c r="O4" i="3"/>
  <c r="E4" i="3"/>
  <c r="V4" i="3"/>
  <c r="T4" i="3"/>
  <c r="Q97" i="3"/>
  <c r="Q98" i="3" s="1"/>
  <c r="Q9" i="3" s="1"/>
  <c r="K97" i="3"/>
  <c r="K98" i="3" s="1"/>
  <c r="K9" i="3" s="1"/>
  <c r="F97" i="3"/>
  <c r="F98" i="3" s="1"/>
  <c r="F9" i="3" s="1"/>
  <c r="Y97" i="3"/>
  <c r="Y98" i="3" s="1"/>
  <c r="Y9" i="3" s="1"/>
  <c r="AA97" i="3"/>
  <c r="X97" i="3"/>
  <c r="X98" i="3" s="1"/>
  <c r="I97" i="3"/>
  <c r="I98" i="3" s="1"/>
  <c r="H97" i="3"/>
  <c r="H98" i="3" s="1"/>
  <c r="Z97" i="3"/>
  <c r="W97" i="3"/>
  <c r="W98" i="3" s="1"/>
  <c r="W9" i="3" s="1"/>
  <c r="D97" i="3"/>
  <c r="D98" i="3" s="1"/>
  <c r="D9" i="3" s="1"/>
  <c r="M97" i="3"/>
  <c r="M98" i="3" s="1"/>
  <c r="E9" i="3"/>
  <c r="V97" i="3"/>
  <c r="V98" i="3" s="1"/>
  <c r="V9" i="3" s="1"/>
  <c r="T97" i="3"/>
  <c r="T98" i="3" s="1"/>
  <c r="T9" i="3" s="1"/>
  <c r="O97" i="3"/>
  <c r="O98" i="3" s="1"/>
  <c r="O9" i="3" s="1"/>
  <c r="U97" i="3"/>
  <c r="U98" i="3" s="1"/>
  <c r="U9" i="3" s="1"/>
  <c r="J97" i="3"/>
  <c r="J98" i="3" s="1"/>
  <c r="N97" i="3"/>
  <c r="N98" i="3" s="1"/>
  <c r="S97" i="3"/>
  <c r="S98" i="3" s="1"/>
  <c r="S9" i="3" s="1"/>
  <c r="C97" i="3"/>
  <c r="G97" i="3"/>
  <c r="G98" i="3" s="1"/>
  <c r="R97" i="3"/>
  <c r="R98" i="3" s="1"/>
  <c r="R9" i="3" s="1"/>
  <c r="L97" i="3"/>
  <c r="L98" i="3" s="1"/>
  <c r="L9" i="3" s="1"/>
  <c r="P97" i="3"/>
  <c r="P98" i="3" s="1"/>
  <c r="Z27" i="3"/>
  <c r="C27" i="3"/>
  <c r="D66" i="3" l="1"/>
  <c r="D6" i="3" s="1"/>
  <c r="N24" i="3"/>
  <c r="N29" i="3" s="1"/>
  <c r="C6" i="3"/>
  <c r="N183" i="3"/>
  <c r="Z179" i="3"/>
  <c r="H24" i="3"/>
  <c r="H29" i="3" s="1"/>
  <c r="C182" i="3"/>
  <c r="Z182" i="3"/>
  <c r="L182" i="3"/>
  <c r="M180" i="3"/>
  <c r="C24" i="3"/>
  <c r="C29" i="3" s="1"/>
  <c r="L179" i="3"/>
  <c r="U179" i="3"/>
  <c r="U182" i="3"/>
  <c r="I24" i="3"/>
  <c r="I29" i="3" s="1"/>
  <c r="I179" i="3"/>
  <c r="M183" i="3"/>
  <c r="D29" i="3"/>
  <c r="X24" i="3"/>
  <c r="X29" i="3" s="1"/>
  <c r="Y182" i="3"/>
  <c r="S24" i="3"/>
  <c r="S29" i="3" s="1"/>
  <c r="W179" i="3"/>
  <c r="F182" i="3"/>
  <c r="R179" i="3"/>
  <c r="R182" i="3"/>
  <c r="O179" i="3"/>
  <c r="O182" i="3"/>
  <c r="T182" i="3"/>
  <c r="K24" i="3"/>
  <c r="K29" i="3" s="1"/>
  <c r="G180" i="3"/>
  <c r="G183" i="3"/>
  <c r="K182" i="3"/>
  <c r="W182" i="3"/>
  <c r="D182" i="3"/>
  <c r="S182" i="3"/>
  <c r="Q24" i="3"/>
  <c r="Q29" i="3" s="1"/>
  <c r="F24" i="3"/>
  <c r="F29" i="3" s="1"/>
  <c r="J179" i="3"/>
  <c r="M24" i="3"/>
  <c r="M29" i="3" s="1"/>
  <c r="E24" i="3"/>
  <c r="E29" i="3" s="1"/>
  <c r="J183" i="3"/>
  <c r="V182" i="3"/>
  <c r="H179" i="3"/>
  <c r="V24" i="3"/>
  <c r="V29" i="3" s="1"/>
  <c r="H183" i="3"/>
  <c r="AA179" i="3"/>
  <c r="P24" i="3"/>
  <c r="P29" i="3" s="1"/>
  <c r="E182" i="3"/>
  <c r="J24" i="3"/>
  <c r="J29" i="3" s="1"/>
  <c r="P179" i="3"/>
  <c r="P182" i="3"/>
  <c r="T183" i="3"/>
  <c r="G9" i="3"/>
  <c r="H9" i="3"/>
  <c r="X9" i="3"/>
  <c r="I9" i="3"/>
  <c r="N9" i="3"/>
  <c r="P9" i="3"/>
  <c r="J9" i="3"/>
  <c r="M9" i="3"/>
  <c r="L180" i="3"/>
  <c r="J182" i="3"/>
  <c r="G182" i="3"/>
  <c r="O183" i="3"/>
  <c r="G179" i="3"/>
  <c r="P180" i="3"/>
  <c r="P183" i="3"/>
  <c r="U180" i="3"/>
  <c r="J180" i="3"/>
  <c r="M182" i="3"/>
  <c r="R180" i="3"/>
  <c r="M179" i="3"/>
  <c r="I180" i="3"/>
  <c r="W180" i="3"/>
  <c r="AA180" i="3"/>
  <c r="Z183" i="3"/>
  <c r="AA24" i="3"/>
  <c r="AA29" i="3" s="1"/>
  <c r="Z24" i="3"/>
  <c r="Z29" i="3" s="1"/>
  <c r="T24" i="3"/>
  <c r="T29" i="3" s="1"/>
  <c r="H182" i="3"/>
  <c r="R24" i="3"/>
  <c r="R29" i="3" s="1"/>
  <c r="H180" i="3"/>
  <c r="Y183" i="3"/>
  <c r="O24" i="3"/>
  <c r="O29" i="3" s="1"/>
  <c r="L24" i="3"/>
  <c r="L29" i="3" s="1"/>
  <c r="Y24" i="3"/>
  <c r="Y29" i="3" s="1"/>
  <c r="W24" i="3"/>
  <c r="W29" i="3" s="1"/>
  <c r="U24" i="3"/>
  <c r="U29" i="3" s="1"/>
  <c r="D183" i="3"/>
  <c r="O180" i="3"/>
  <c r="Z180" i="3"/>
  <c r="N179" i="3"/>
  <c r="N180" i="3"/>
  <c r="C179" i="3"/>
  <c r="C180" i="3"/>
  <c r="X179" i="3"/>
  <c r="X180" i="3"/>
  <c r="Q179" i="3"/>
  <c r="Q180" i="3"/>
  <c r="C176" i="3"/>
  <c r="F179" i="3"/>
  <c r="F180" i="3"/>
  <c r="E183" i="3"/>
  <c r="D179" i="3"/>
  <c r="D180" i="3"/>
  <c r="I182" i="3"/>
  <c r="I183" i="3"/>
  <c r="AA182" i="3"/>
  <c r="AA183" i="3"/>
  <c r="C183" i="3"/>
  <c r="L183" i="3"/>
  <c r="V183" i="3"/>
  <c r="V179" i="3"/>
  <c r="V180" i="3"/>
  <c r="T179" i="3"/>
  <c r="T180" i="3"/>
  <c r="W183" i="3"/>
  <c r="U183" i="3"/>
  <c r="N182" i="3"/>
  <c r="Y179" i="3"/>
  <c r="Y180" i="3"/>
  <c r="F183" i="3"/>
  <c r="S183" i="3"/>
  <c r="R183" i="3"/>
  <c r="K183" i="3"/>
  <c r="K179" i="3"/>
  <c r="K180" i="3"/>
  <c r="E179" i="3"/>
  <c r="E180" i="3"/>
  <c r="Q182" i="3"/>
  <c r="Q183" i="3"/>
  <c r="X182" i="3"/>
  <c r="X183" i="3"/>
  <c r="S179" i="3"/>
  <c r="S180" i="3"/>
  <c r="C98" i="3"/>
  <c r="AA98" i="3"/>
  <c r="Z98" i="3"/>
  <c r="G24" i="3"/>
  <c r="Z9" i="3" l="1"/>
  <c r="C177" i="3"/>
  <c r="C9" i="3"/>
  <c r="AA9" i="3"/>
  <c r="C14" i="3"/>
  <c r="C15" i="3" s="1"/>
  <c r="C18" i="3"/>
  <c r="M14" i="3"/>
  <c r="M15" i="3" s="1"/>
  <c r="O14" i="3"/>
  <c r="O15" i="3" s="1"/>
  <c r="P18" i="3"/>
  <c r="P20" i="3" s="1"/>
  <c r="K18" i="3"/>
  <c r="K20" i="3" s="1"/>
  <c r="H14" i="3"/>
  <c r="H15" i="3" s="1"/>
  <c r="V14" i="3"/>
  <c r="V15" i="3" s="1"/>
  <c r="L14" i="3"/>
  <c r="L15" i="3" s="1"/>
  <c r="E14" i="3"/>
  <c r="E15" i="3" s="1"/>
  <c r="S18" i="3"/>
  <c r="S20" i="3" s="1"/>
  <c r="W18" i="3"/>
  <c r="W20" i="3" s="1"/>
  <c r="U14" i="3"/>
  <c r="U15" i="3" s="1"/>
  <c r="AA14" i="3"/>
  <c r="AA15" i="3" s="1"/>
  <c r="Z18" i="3"/>
  <c r="Z20" i="3" s="1"/>
  <c r="T18" i="3"/>
  <c r="T20" i="3" s="1"/>
  <c r="J18" i="3"/>
  <c r="J20" i="3" s="1"/>
  <c r="P14" i="3"/>
  <c r="P15" i="3" s="1"/>
  <c r="K14" i="3"/>
  <c r="K15" i="3" s="1"/>
  <c r="T14" i="3"/>
  <c r="T15" i="3" s="1"/>
  <c r="X14" i="3"/>
  <c r="X15" i="3" s="1"/>
  <c r="D14" i="3"/>
  <c r="D15" i="3" s="1"/>
  <c r="D18" i="3"/>
  <c r="D20" i="3" s="1"/>
  <c r="M18" i="3"/>
  <c r="M20" i="3" s="1"/>
  <c r="R18" i="3"/>
  <c r="R20" i="3" s="1"/>
  <c r="U18" i="3"/>
  <c r="U20" i="3" s="1"/>
  <c r="O18" i="3"/>
  <c r="O20" i="3" s="1"/>
  <c r="Y18" i="3"/>
  <c r="Y20" i="3" s="1"/>
  <c r="E18" i="3"/>
  <c r="E20" i="3" s="1"/>
  <c r="N18" i="3"/>
  <c r="N20" i="3" s="1"/>
  <c r="L18" i="3"/>
  <c r="L20" i="3" s="1"/>
  <c r="J14" i="3"/>
  <c r="J15" i="3" s="1"/>
  <c r="N14" i="3"/>
  <c r="N15" i="3" s="1"/>
  <c r="Q14" i="3"/>
  <c r="Q15" i="3" s="1"/>
  <c r="W14" i="3"/>
  <c r="W15" i="3" s="1"/>
  <c r="G14" i="3"/>
  <c r="G15" i="3" s="1"/>
  <c r="F14" i="3"/>
  <c r="F15" i="3" s="1"/>
  <c r="AA18" i="3"/>
  <c r="AA20" i="3" s="1"/>
  <c r="V18" i="3"/>
  <c r="V20" i="3" s="1"/>
  <c r="Z14" i="3"/>
  <c r="Z15" i="3" s="1"/>
  <c r="G29" i="3"/>
  <c r="R14" i="3"/>
  <c r="R15" i="3" s="1"/>
  <c r="Y14" i="3"/>
  <c r="Y15" i="3" s="1"/>
  <c r="F18" i="3"/>
  <c r="F20" i="3" s="1"/>
  <c r="I18" i="3"/>
  <c r="I20" i="3" s="1"/>
  <c r="X18" i="3"/>
  <c r="X20" i="3" s="1"/>
  <c r="Q18" i="3"/>
  <c r="Q20" i="3" s="1"/>
  <c r="S14" i="3"/>
  <c r="S15" i="3" s="1"/>
  <c r="H18" i="3"/>
  <c r="H20" i="3" s="1"/>
  <c r="C20" i="3" l="1"/>
  <c r="I14" i="3"/>
  <c r="I15" i="3" s="1"/>
  <c r="G18" i="3"/>
  <c r="G20" i="3" s="1"/>
  <c r="C11" i="3"/>
  <c r="C22" i="3" s="1"/>
  <c r="C31" i="3" l="1"/>
  <c r="C34" i="3" s="1"/>
  <c r="W176" i="3" l="1"/>
  <c r="P177" i="3"/>
  <c r="N6" i="3"/>
  <c r="N11" i="3" s="1"/>
  <c r="N22" i="3" s="1"/>
  <c r="N31" i="3" s="1"/>
  <c r="N34" i="3" s="1"/>
  <c r="K176" i="3"/>
  <c r="T176" i="3"/>
  <c r="Y176" i="3"/>
  <c r="W6" i="3"/>
  <c r="W11" i="3" s="1"/>
  <c r="W22" i="3" s="1"/>
  <c r="W31" i="3" s="1"/>
  <c r="W34" i="3" s="1"/>
  <c r="G6" i="3"/>
  <c r="G11" i="3" s="1"/>
  <c r="G22" i="3" s="1"/>
  <c r="G31" i="3" s="1"/>
  <c r="G34" i="3" s="1"/>
  <c r="P176" i="3"/>
  <c r="V176" i="3"/>
  <c r="D11" i="3"/>
  <c r="D22" i="3" s="1"/>
  <c r="D31" i="3" s="1"/>
  <c r="D34" i="3" s="1"/>
  <c r="R176" i="3"/>
  <c r="O176" i="3"/>
  <c r="D176" i="3"/>
  <c r="T177" i="3"/>
  <c r="P6" i="3"/>
  <c r="P11" i="3" s="1"/>
  <c r="P22" i="3" s="1"/>
  <c r="P31" i="3" s="1"/>
  <c r="P34" i="3" s="1"/>
  <c r="J6" i="3"/>
  <c r="J11" i="3" s="1"/>
  <c r="J22" i="3" s="1"/>
  <c r="J31" i="3" s="1"/>
  <c r="J34" i="3" s="1"/>
  <c r="E6" i="3"/>
  <c r="E11" i="3" s="1"/>
  <c r="E22" i="3" s="1"/>
  <c r="E31" i="3" s="1"/>
  <c r="E34" i="3" s="1"/>
  <c r="F176" i="3"/>
  <c r="AA176" i="3"/>
  <c r="M176" i="3"/>
  <c r="D177" i="3"/>
  <c r="S6" i="3"/>
  <c r="S11" i="3" s="1"/>
  <c r="S22" i="3" s="1"/>
  <c r="S31" i="3" s="1"/>
  <c r="S34" i="3" s="1"/>
  <c r="X176" i="3"/>
  <c r="G176" i="3"/>
  <c r="Z176" i="3"/>
  <c r="AA177" i="3"/>
  <c r="M177" i="3"/>
  <c r="V177" i="3"/>
  <c r="V6" i="3"/>
  <c r="V11" i="3" s="1"/>
  <c r="V22" i="3" s="1"/>
  <c r="V31" i="3" s="1"/>
  <c r="V34" i="3" s="1"/>
  <c r="H6" i="3"/>
  <c r="H11" i="3" s="1"/>
  <c r="H22" i="3" s="1"/>
  <c r="H31" i="3" s="1"/>
  <c r="H34" i="3" s="1"/>
  <c r="R6" i="3"/>
  <c r="R11" i="3" s="1"/>
  <c r="R22" i="3" s="1"/>
  <c r="R31" i="3" s="1"/>
  <c r="R34" i="3" s="1"/>
  <c r="R177" i="3"/>
  <c r="Q177" i="3"/>
  <c r="Q176" i="3"/>
  <c r="H176" i="3"/>
  <c r="S176" i="3"/>
  <c r="K6" i="3"/>
  <c r="K11" i="3" s="1"/>
  <c r="K22" i="3" s="1"/>
  <c r="K31" i="3" s="1"/>
  <c r="K34" i="3" s="1"/>
  <c r="K177" i="3"/>
  <c r="F6" i="3"/>
  <c r="F11" i="3" s="1"/>
  <c r="F22" i="3" s="1"/>
  <c r="F31" i="3" s="1"/>
  <c r="F34" i="3" s="1"/>
  <c r="F177" i="3"/>
  <c r="I177" i="3"/>
  <c r="I176" i="3"/>
  <c r="L177" i="3"/>
  <c r="L176" i="3"/>
  <c r="X6" i="3"/>
  <c r="X11" i="3" s="1"/>
  <c r="X22" i="3" s="1"/>
  <c r="X31" i="3" s="1"/>
  <c r="X34" i="3" s="1"/>
  <c r="X177" i="3"/>
  <c r="N176" i="3"/>
  <c r="J177" i="3"/>
  <c r="J176" i="3"/>
  <c r="U176" i="3"/>
  <c r="E177" i="3"/>
  <c r="E176" i="3"/>
  <c r="Z6" i="3"/>
  <c r="Z11" i="3" s="1"/>
  <c r="Z22" i="3" s="1"/>
  <c r="Z31" i="3" s="1"/>
  <c r="Z34" i="3" s="1"/>
  <c r="Z177" i="3"/>
  <c r="H177" i="3"/>
  <c r="N177" i="3"/>
  <c r="U177" i="3"/>
  <c r="Y6" i="3"/>
  <c r="Y11" i="3" s="1"/>
  <c r="Y22" i="3" s="1"/>
  <c r="Y31" i="3" s="1"/>
  <c r="Y34" i="3" s="1"/>
  <c r="Y177" i="3"/>
  <c r="T6" i="3"/>
  <c r="T11" i="3" s="1"/>
  <c r="T22" i="3" s="1"/>
  <c r="T31" i="3" s="1"/>
  <c r="T34" i="3" s="1"/>
  <c r="O177" i="3"/>
  <c r="O6" i="3"/>
  <c r="O11" i="3" s="1"/>
  <c r="O22" i="3" s="1"/>
  <c r="O31" i="3" s="1"/>
  <c r="O34" i="3" s="1"/>
  <c r="W177" i="3"/>
  <c r="G177" i="3"/>
  <c r="S177" i="3"/>
  <c r="M6" i="3" l="1"/>
  <c r="M11" i="3" s="1"/>
  <c r="M22" i="3" s="1"/>
  <c r="M31" i="3" s="1"/>
  <c r="M34" i="3" s="1"/>
  <c r="Q6" i="3"/>
  <c r="Q11" i="3" s="1"/>
  <c r="Q22" i="3" s="1"/>
  <c r="Q31" i="3" s="1"/>
  <c r="Q34" i="3" s="1"/>
  <c r="U6" i="3"/>
  <c r="U11" i="3" s="1"/>
  <c r="U22" i="3" s="1"/>
  <c r="U31" i="3" s="1"/>
  <c r="U34" i="3" s="1"/>
  <c r="AA6" i="3"/>
  <c r="AA11" i="3" s="1"/>
  <c r="AA22" i="3" s="1"/>
  <c r="AA31" i="3" s="1"/>
  <c r="AA34" i="3" s="1"/>
  <c r="L6" i="3"/>
  <c r="L11" i="3" s="1"/>
  <c r="L22" i="3" s="1"/>
  <c r="L31" i="3" s="1"/>
  <c r="L34" i="3" s="1"/>
  <c r="I6" i="3"/>
  <c r="I11" i="3" s="1"/>
  <c r="I22" i="3" s="1"/>
  <c r="I31" i="3" s="1"/>
  <c r="I34" i="3" s="1"/>
  <c r="D36" i="3" l="1"/>
  <c r="D3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<sst xmlns="http://schemas.openxmlformats.org/spreadsheetml/2006/main" count="1313" uniqueCount="417">
  <si>
    <t>Combined Federal and State Tax Rate</t>
  </si>
  <si>
    <t>Before Tax Discount Rate  - Real WACC</t>
  </si>
  <si>
    <t>Blue cells require user input</t>
  </si>
  <si>
    <t>Inputs for All Project Revenue Types</t>
  </si>
  <si>
    <t>Project Revenue Type</t>
  </si>
  <si>
    <t>Tier 1</t>
  </si>
  <si>
    <t>Plant Type</t>
  </si>
  <si>
    <t>Land Based Wind</t>
  </si>
  <si>
    <t>System Size</t>
  </si>
  <si>
    <t>Start Date of Plant Operation</t>
  </si>
  <si>
    <t>Taxable Status Year</t>
  </si>
  <si>
    <t>System Age at Taxable Status Date</t>
  </si>
  <si>
    <t>Year(s)</t>
  </si>
  <si>
    <t>Tax Load</t>
  </si>
  <si>
    <t>Annual Ground Lease Payment (if applicable)</t>
  </si>
  <si>
    <t>Annual Ground Lease Escalator (if applicable)</t>
  </si>
  <si>
    <t>Additional Required Inputs for VDER Projects</t>
  </si>
  <si>
    <t>NYISO Zone</t>
  </si>
  <si>
    <t>A - West</t>
  </si>
  <si>
    <t>Utility Company</t>
  </si>
  <si>
    <t>NYSEG</t>
  </si>
  <si>
    <t>DRV Rate</t>
  </si>
  <si>
    <t>$/kWh</t>
  </si>
  <si>
    <t>Additional Optional Inputs for VDER Projects</t>
  </si>
  <si>
    <t>Actual Market Transition or Community Credit</t>
  </si>
  <si>
    <t>or Community Adder/ICSA</t>
  </si>
  <si>
    <t>$</t>
  </si>
  <si>
    <t>Additional Input for NEM Projects</t>
  </si>
  <si>
    <t>Utility for Retail Rate</t>
  </si>
  <si>
    <t xml:space="preserve">ConEd NYC </t>
  </si>
  <si>
    <t>Additional Input for Tier 1 Projects</t>
  </si>
  <si>
    <t>Model Cash Flow Viewing Option</t>
  </si>
  <si>
    <t>Cash Flow Type</t>
  </si>
  <si>
    <t>Nominal Dollars</t>
  </si>
  <si>
    <t>Data for Model Operation</t>
  </si>
  <si>
    <t>ValGroup Number</t>
  </si>
  <si>
    <t>ValGroup-Zone</t>
  </si>
  <si>
    <t>Capacity Factor for Plant Type</t>
  </si>
  <si>
    <t>Scaled OpEx Rate</t>
  </si>
  <si>
    <t>$/kW-year</t>
  </si>
  <si>
    <t>Utility Loss Adjustment Factor</t>
  </si>
  <si>
    <t>Decommissioning Cost Rate</t>
  </si>
  <si>
    <t>Economic Life</t>
  </si>
  <si>
    <t>Long-term Annual Inflation</t>
  </si>
  <si>
    <t>Degradation Rate (Linear)</t>
  </si>
  <si>
    <t>DRV Renewal Rate</t>
  </si>
  <si>
    <t>Fraction of Off-taker Credits to Owner</t>
  </si>
  <si>
    <t>Residential Share of Bill Credits for NEM</t>
  </si>
  <si>
    <t>Inverter Size</t>
  </si>
  <si>
    <t>kW AC</t>
  </si>
  <si>
    <t>Inverter Age</t>
  </si>
  <si>
    <t>Inverter Replacement Cycle</t>
  </si>
  <si>
    <t>Inverter Size Step</t>
  </si>
  <si>
    <t>kW</t>
  </si>
  <si>
    <t xml:space="preserve">Inverter Replacement Cost New </t>
  </si>
  <si>
    <t>$/kW</t>
  </si>
  <si>
    <t>Base Year for Cost Data</t>
  </si>
  <si>
    <t>Base Rate for DRV Rate</t>
  </si>
  <si>
    <t>Base Year for Market Data</t>
  </si>
  <si>
    <t>Base Year for PV and Cash Flows</t>
  </si>
  <si>
    <t>Land-based Wind</t>
  </si>
  <si>
    <t>Cost of Debt (Nominal, pre-tax)</t>
  </si>
  <si>
    <t>Debt Fraction</t>
  </si>
  <si>
    <t>Cost of Equity (Nominal, pre-tax)</t>
  </si>
  <si>
    <t>Nominal WACC (pre-tax) </t>
  </si>
  <si>
    <t>Real WACC (pre-tax) </t>
  </si>
  <si>
    <t>Solar</t>
  </si>
  <si>
    <t>Cost of Debt (nominal, pre-tax)</t>
  </si>
  <si>
    <t>Calendar/Tax Year</t>
  </si>
  <si>
    <t>Year of Plant Operation</t>
  </si>
  <si>
    <t>Energy Production (kWh)</t>
  </si>
  <si>
    <t>Energy</t>
  </si>
  <si>
    <t>Capacity</t>
  </si>
  <si>
    <t>MTC or CC</t>
  </si>
  <si>
    <t>Community Adder/ICSA</t>
  </si>
  <si>
    <t>VDER Revenues Total</t>
  </si>
  <si>
    <t>Net Metering Credits</t>
  </si>
  <si>
    <t>NEM Revenues Total</t>
  </si>
  <si>
    <t>Tier 1 Revenues Total</t>
  </si>
  <si>
    <t>Income</t>
  </si>
  <si>
    <t>Expense*</t>
  </si>
  <si>
    <t>Lease</t>
  </si>
  <si>
    <t>Decomissioning</t>
  </si>
  <si>
    <t>Inverter (Solar Only)</t>
  </si>
  <si>
    <t>Expenses</t>
  </si>
  <si>
    <t>EBITDA</t>
  </si>
  <si>
    <t>Discount Factor</t>
  </si>
  <si>
    <t>Discounted Cash Flow</t>
  </si>
  <si>
    <t>Present Value of Cash Flows:</t>
  </si>
  <si>
    <t>/ kW AC</t>
  </si>
  <si>
    <t>*Expense includes O&amp;M, Insurance, Management.</t>
  </si>
  <si>
    <t>Detailed Calculations</t>
  </si>
  <si>
    <t>Model Factors</t>
  </si>
  <si>
    <t>Discount Factor (Nominal)</t>
  </si>
  <si>
    <t>Discount Factor (Real)</t>
  </si>
  <si>
    <t>Cash Flow Deflation Factor</t>
  </si>
  <si>
    <t>Cost Data Inflation Factor</t>
  </si>
  <si>
    <t>DRV Rate Inflation Factor</t>
  </si>
  <si>
    <t>Market Data Inflation Factor</t>
  </si>
  <si>
    <t>Production Calculations</t>
  </si>
  <si>
    <t>System Size (kW AC)</t>
  </si>
  <si>
    <t>Zone Capacity Factor</t>
  </si>
  <si>
    <t>Degradation Rate</t>
  </si>
  <si>
    <t>Degradation Factor</t>
  </si>
  <si>
    <t>Days per year</t>
  </si>
  <si>
    <t>VDER Energy Revenue Calculations</t>
  </si>
  <si>
    <t>Utility Loss Adjustment</t>
  </si>
  <si>
    <t>Fraction of Credits</t>
  </si>
  <si>
    <t>Gen-Wtd Price ($/MWh)</t>
  </si>
  <si>
    <t>Annual VDER Energy Revenue</t>
  </si>
  <si>
    <t>Nominal $</t>
  </si>
  <si>
    <t>VDER Capacity Revenue Calculations</t>
  </si>
  <si>
    <t>ICAP</t>
  </si>
  <si>
    <t>UCAP-Adjusted Price</t>
  </si>
  <si>
    <t>Annual VDER Capacity Revenue</t>
  </si>
  <si>
    <t>VDER Demand Reduction Value Calculations</t>
  </si>
  <si>
    <t>Utility Name</t>
  </si>
  <si>
    <t>DRV Rate (Years 1-10)</t>
  </si>
  <si>
    <t>DRV Renew Rate (Years &gt;10)</t>
  </si>
  <si>
    <t>System Year</t>
  </si>
  <si>
    <t>DRV kWh/yr/kW</t>
  </si>
  <si>
    <t>DRV Rate, $/kWh</t>
  </si>
  <si>
    <t>Annual VDER Demand Reduction Value Revenue</t>
  </si>
  <si>
    <t>VDER MTC/CC Revenue Calculations</t>
  </si>
  <si>
    <t>System Age</t>
  </si>
  <si>
    <t>MTC/CC Rate, $/kWh</t>
  </si>
  <si>
    <t>MTC/CC Term</t>
  </si>
  <si>
    <t>Annual VDER MTC/CC Revenue</t>
  </si>
  <si>
    <t>VDER Community Adder/Inclusive Community Solar Adder Revenue Calculations</t>
  </si>
  <si>
    <t>Community Adder Payment</t>
  </si>
  <si>
    <t>CA Payment Fractions</t>
  </si>
  <si>
    <t>Annual VDER Community Adder Revenue</t>
  </si>
  <si>
    <t>NEM Net Metering Credit Revenue Calculations</t>
  </si>
  <si>
    <t>Residential Share</t>
  </si>
  <si>
    <t>Residential Credit Rate</t>
  </si>
  <si>
    <t>Commercial Credit Rate</t>
  </si>
  <si>
    <t>Annual NEM Net Metering Credit Revenue</t>
  </si>
  <si>
    <t>Tier 1 Energy Revenue Calculations</t>
  </si>
  <si>
    <t>Annual Tier 1 Energy Revenue</t>
  </si>
  <si>
    <t>Tier 1 Capacity Revenue Calculation</t>
  </si>
  <si>
    <t>Annual Tier 1 Capacity Revenue</t>
  </si>
  <si>
    <t>Operating Expense Calculations</t>
  </si>
  <si>
    <t>Base OpEx Rate ($/kW-year)</t>
  </si>
  <si>
    <t>Size Range</t>
  </si>
  <si>
    <t>Pivot Capacity (MW)</t>
  </si>
  <si>
    <t>Factor at Pivot</t>
  </si>
  <si>
    <t>Exponent</t>
  </si>
  <si>
    <t>OpEx Scale Factor</t>
  </si>
  <si>
    <t>/kW-year</t>
  </si>
  <si>
    <t>Annual Operating Expense</t>
  </si>
  <si>
    <t>Ground Lease Expense Calculations</t>
  </si>
  <si>
    <t>Annual Ground Lease</t>
  </si>
  <si>
    <t>Ground Lease Escalation</t>
  </si>
  <si>
    <t>Annual Ground Lease Expense</t>
  </si>
  <si>
    <t>Decommissioning Expense Calculations</t>
  </si>
  <si>
    <t>Decom Cost per kW/yr</t>
  </si>
  <si>
    <t>COD Inflation Adjustment</t>
  </si>
  <si>
    <t>Annual Decommissioning Expense</t>
  </si>
  <si>
    <t>Inverter Replacement Expense Calculations</t>
  </si>
  <si>
    <t>Inverter Size (kW)</t>
  </si>
  <si>
    <t>Replacement Cycle</t>
  </si>
  <si>
    <t>Replacement Cost ($/kW)</t>
  </si>
  <si>
    <t>Annual Inverter Replacement Expense</t>
  </si>
  <si>
    <t>Total Cash Flows</t>
  </si>
  <si>
    <t>VDER Total Cash Flow</t>
  </si>
  <si>
    <t>NEM Total Cash Flow</t>
  </si>
  <si>
    <t>Tier 1 Total Cash Flow</t>
  </si>
  <si>
    <t>Valuation Group</t>
  </si>
  <si>
    <t>Group-Zone</t>
  </si>
  <si>
    <t>CapFactor</t>
  </si>
  <si>
    <t>Technology</t>
  </si>
  <si>
    <t>Base OpEx Rate ($2022/kW)</t>
  </si>
  <si>
    <t>Pivot MW</t>
  </si>
  <si>
    <t>Utility</t>
  </si>
  <si>
    <t>Loss Adjustment Factor</t>
  </si>
  <si>
    <t>DRV Rate ($2022/kWh) Phase 2</t>
  </si>
  <si>
    <t>Maximum MTC/CC Rate ($2022/kWh)</t>
  </si>
  <si>
    <t>Revenue Type</t>
  </si>
  <si>
    <t>NYISO Name</t>
  </si>
  <si>
    <t>NYISO Letter</t>
  </si>
  <si>
    <t>Year</t>
  </si>
  <si>
    <t>Days</t>
  </si>
  <si>
    <t>Cash Flow Types</t>
  </si>
  <si>
    <t>Solar Fixed - VDER</t>
  </si>
  <si>
    <t>A</t>
  </si>
  <si>
    <t>1A</t>
  </si>
  <si>
    <t>Low Range</t>
  </si>
  <si>
    <t>High Range</t>
  </si>
  <si>
    <t>Central Hudson</t>
  </si>
  <si>
    <t>VDER</t>
  </si>
  <si>
    <t>Solar - Fixed Axis</t>
  </si>
  <si>
    <t>B</t>
  </si>
  <si>
    <t>1B</t>
  </si>
  <si>
    <t>ConEd (11am-3pm)</t>
  </si>
  <si>
    <t>Solar - Tracking</t>
  </si>
  <si>
    <t>B - Genesee</t>
  </si>
  <si>
    <t>C</t>
  </si>
  <si>
    <t>1C</t>
  </si>
  <si>
    <t>ConEd (2pm-6pm)</t>
  </si>
  <si>
    <t>NEM</t>
  </si>
  <si>
    <t>C - Central</t>
  </si>
  <si>
    <t>D</t>
  </si>
  <si>
    <t>1D</t>
  </si>
  <si>
    <t>ConEd (4pm-8pm)</t>
  </si>
  <si>
    <t>D - North</t>
  </si>
  <si>
    <t>E</t>
  </si>
  <si>
    <t>1E</t>
  </si>
  <si>
    <t>ConEd (7pm-11pm)</t>
  </si>
  <si>
    <t>E - Mohawk Valley</t>
  </si>
  <si>
    <t>F</t>
  </si>
  <si>
    <t>1F</t>
  </si>
  <si>
    <t>National Grid</t>
  </si>
  <si>
    <t>F - Capital</t>
  </si>
  <si>
    <t>G</t>
  </si>
  <si>
    <t>1G</t>
  </si>
  <si>
    <t>G - Hudson Valley</t>
  </si>
  <si>
    <t>H</t>
  </si>
  <si>
    <t>1H</t>
  </si>
  <si>
    <t>Orange &amp; Rockland</t>
  </si>
  <si>
    <t>H - Millwood</t>
  </si>
  <si>
    <t>I</t>
  </si>
  <si>
    <t>1I</t>
  </si>
  <si>
    <t>PSEG Long Island</t>
  </si>
  <si>
    <t xml:space="preserve">I - Dunwoodie </t>
  </si>
  <si>
    <t>J</t>
  </si>
  <si>
    <t>1J</t>
  </si>
  <si>
    <t>RGE</t>
  </si>
  <si>
    <t xml:space="preserve">J - N.Y.C. </t>
  </si>
  <si>
    <t>K</t>
  </si>
  <si>
    <t>1K</t>
  </si>
  <si>
    <t>K - Long Island</t>
  </si>
  <si>
    <t>Solar Tracking - VDER</t>
  </si>
  <si>
    <t>2A</t>
  </si>
  <si>
    <t>2B</t>
  </si>
  <si>
    <t>2C</t>
  </si>
  <si>
    <t>2D</t>
  </si>
  <si>
    <t>2E</t>
  </si>
  <si>
    <t>2F</t>
  </si>
  <si>
    <t>2G</t>
  </si>
  <si>
    <t>2H</t>
  </si>
  <si>
    <t>2I</t>
  </si>
  <si>
    <t>2J</t>
  </si>
  <si>
    <t>2K</t>
  </si>
  <si>
    <t>Solar Fixed - Tier 1</t>
  </si>
  <si>
    <t>3A</t>
  </si>
  <si>
    <t>3B</t>
  </si>
  <si>
    <t>3C</t>
  </si>
  <si>
    <t>3D</t>
  </si>
  <si>
    <t>3E</t>
  </si>
  <si>
    <t>3F</t>
  </si>
  <si>
    <t>3G</t>
  </si>
  <si>
    <t>3H</t>
  </si>
  <si>
    <t>3I</t>
  </si>
  <si>
    <t>3J</t>
  </si>
  <si>
    <t>3K</t>
  </si>
  <si>
    <t>Solar Tracking - Tier 1</t>
  </si>
  <si>
    <t>4A</t>
  </si>
  <si>
    <t>4B</t>
  </si>
  <si>
    <t>4C</t>
  </si>
  <si>
    <t>4D</t>
  </si>
  <si>
    <t>4E</t>
  </si>
  <si>
    <t>4F</t>
  </si>
  <si>
    <t>4G</t>
  </si>
  <si>
    <t>4H</t>
  </si>
  <si>
    <t>4I</t>
  </si>
  <si>
    <t>4J</t>
  </si>
  <si>
    <t>4K</t>
  </si>
  <si>
    <t>Onshore Wind - Tier 1</t>
  </si>
  <si>
    <t>5A</t>
  </si>
  <si>
    <t>5B</t>
  </si>
  <si>
    <t>5C</t>
  </si>
  <si>
    <t>5D</t>
  </si>
  <si>
    <t>5E</t>
  </si>
  <si>
    <t>5F</t>
  </si>
  <si>
    <t>5G</t>
  </si>
  <si>
    <t>5H</t>
  </si>
  <si>
    <t>5I</t>
  </si>
  <si>
    <t>5J</t>
  </si>
  <si>
    <t>5K</t>
  </si>
  <si>
    <t>Solar Fixed - NEM</t>
  </si>
  <si>
    <t>6-1-F</t>
  </si>
  <si>
    <t>6-2-J</t>
  </si>
  <si>
    <t>ConEd West</t>
  </si>
  <si>
    <t>6-3-I</t>
  </si>
  <si>
    <t>6-4-A</t>
  </si>
  <si>
    <t>6-5-D</t>
  </si>
  <si>
    <t>6-6-G</t>
  </si>
  <si>
    <t>6-7-K</t>
  </si>
  <si>
    <t>6-8-C</t>
  </si>
  <si>
    <t>Solar Tracking - NEM</t>
  </si>
  <si>
    <t>7-1-F</t>
  </si>
  <si>
    <t>7-2-J</t>
  </si>
  <si>
    <t>7-3-I</t>
  </si>
  <si>
    <t>7-4-A</t>
  </si>
  <si>
    <t>7-5-D</t>
  </si>
  <si>
    <t>7-6-G</t>
  </si>
  <si>
    <t>7-7-K</t>
  </si>
  <si>
    <t>7-8-C</t>
  </si>
  <si>
    <t>Class 1</t>
  </si>
  <si>
    <t>Class 2</t>
  </si>
  <si>
    <t>Class 3</t>
  </si>
  <si>
    <t>Class 4</t>
  </si>
  <si>
    <t>Class 5</t>
  </si>
  <si>
    <t>Class 6</t>
  </si>
  <si>
    <t>Class 7</t>
  </si>
  <si>
    <t>Class 8</t>
  </si>
  <si>
    <t>Class 9</t>
  </si>
  <si>
    <t>Class 10</t>
  </si>
  <si>
    <t>NREL Wind Class</t>
  </si>
  <si>
    <t>Revenue</t>
  </si>
  <si>
    <t>ValFactor</t>
  </si>
  <si>
    <t>Type-Zone</t>
  </si>
  <si>
    <t>Type</t>
  </si>
  <si>
    <t>Zone</t>
  </si>
  <si>
    <t>Hourly</t>
  </si>
  <si>
    <t>Solar - Fixed Axis-A</t>
  </si>
  <si>
    <t>Solar - Fixed Axis-B</t>
  </si>
  <si>
    <t>Solar - Fixed Axis-C</t>
  </si>
  <si>
    <t>Solar - Fixed Axis-D</t>
  </si>
  <si>
    <t>Solar - Fixed Axis-E</t>
  </si>
  <si>
    <t>Solar - Fixed Axis-F</t>
  </si>
  <si>
    <t>Solar - Fixed Axis-G</t>
  </si>
  <si>
    <t>Solar - Fixed Axis-H</t>
  </si>
  <si>
    <t>Solar - Fixed Axis-I</t>
  </si>
  <si>
    <t>Solar - Fixed Axis-J</t>
  </si>
  <si>
    <t>Solar - Fixed Axis-K</t>
  </si>
  <si>
    <t>Solar - Tracking-A</t>
  </si>
  <si>
    <t>Solar - Tracking-B</t>
  </si>
  <si>
    <t>Solar - Tracking-C</t>
  </si>
  <si>
    <t>Solar - Tracking-D</t>
  </si>
  <si>
    <t>Solar - Tracking-E</t>
  </si>
  <si>
    <t>Solar - Tracking-F</t>
  </si>
  <si>
    <t>Solar - Tracking-G</t>
  </si>
  <si>
    <t>Solar - Tracking-H</t>
  </si>
  <si>
    <t>Solar - Tracking-I</t>
  </si>
  <si>
    <t>Solar - Tracking-J</t>
  </si>
  <si>
    <t>Solar - Tracking-K</t>
  </si>
  <si>
    <t>Land Based Wind-A</t>
  </si>
  <si>
    <t>Land Based Wind-B</t>
  </si>
  <si>
    <t>Land Based Wind-C</t>
  </si>
  <si>
    <t>Land Based Wind-D</t>
  </si>
  <si>
    <t>Land Based Wind-E</t>
  </si>
  <si>
    <t>Land Based Wind-F</t>
  </si>
  <si>
    <t>Land Based Wind-G</t>
  </si>
  <si>
    <t>Land Based Wind-H</t>
  </si>
  <si>
    <t>Land Based Wind-I</t>
  </si>
  <si>
    <t>Land Based Wind-J</t>
  </si>
  <si>
    <t>Land Based Wind-K</t>
  </si>
  <si>
    <t>Tier 1/VDER</t>
  </si>
  <si>
    <t>UCAP</t>
  </si>
  <si>
    <t>Rate-Type</t>
  </si>
  <si>
    <t>Rate</t>
  </si>
  <si>
    <t>DRV</t>
  </si>
  <si>
    <t>Default-Solar - Fixed Axis-A</t>
  </si>
  <si>
    <t>Default</t>
  </si>
  <si>
    <t>Default-Solar - Fixed Axis-B</t>
  </si>
  <si>
    <t>Default-Solar - Fixed Axis-C</t>
  </si>
  <si>
    <t>Default-Solar - Fixed Axis-D</t>
  </si>
  <si>
    <t>Default-Solar - Fixed Axis-E</t>
  </si>
  <si>
    <t>Default-Solar - Fixed Axis-F</t>
  </si>
  <si>
    <t>Default-Solar - Fixed Axis-G</t>
  </si>
  <si>
    <t>ConEd (11am-3pm)-Solar - Fixed Axis-H</t>
  </si>
  <si>
    <t>ConEd (2pm-6pm)-Solar - Fixed Axis-H</t>
  </si>
  <si>
    <t>ConEd (4pm-8pm)-Solar - Fixed Axis-H</t>
  </si>
  <si>
    <t>ConEd (7pm-11pm)-Solar - Fixed Axis-H</t>
  </si>
  <si>
    <t>Default-Solar - Fixed Axis-H</t>
  </si>
  <si>
    <t>ConEd (11am-3pm)-Solar - Fixed Axis-I</t>
  </si>
  <si>
    <t>ConEd (2pm-6pm)-Solar - Fixed Axis-I</t>
  </si>
  <si>
    <t>ConEd (4pm-8pm)-Solar - Fixed Axis-I</t>
  </si>
  <si>
    <t>ConEd (7pm-11pm)-Solar - Fixed Axis-I</t>
  </si>
  <si>
    <t>Default-Solar - Fixed Axis-I</t>
  </si>
  <si>
    <t>ConEd (11am-3pm)-Solar - Fixed Axis-J</t>
  </si>
  <si>
    <t>ConEd (2pm-6pm)-Solar - Fixed Axis-J</t>
  </si>
  <si>
    <t>ConEd (4pm-8pm)-Solar - Fixed Axis-J</t>
  </si>
  <si>
    <t>ConEd (7pm-11pm)-Solar - Fixed Axis-J</t>
  </si>
  <si>
    <t>Default-Solar - Fixed Axis-K</t>
  </si>
  <si>
    <t>Default-Solar - Tracking-A</t>
  </si>
  <si>
    <t>Default-Solar - Tracking-B</t>
  </si>
  <si>
    <t>Default-Solar - Tracking-C</t>
  </si>
  <si>
    <t>Default-Solar - Tracking-D</t>
  </si>
  <si>
    <t>Default-Solar - Tracking-E</t>
  </si>
  <si>
    <t>Default-Solar - Tracking-F</t>
  </si>
  <si>
    <t>Default-Solar - Tracking-G</t>
  </si>
  <si>
    <t>ConEd (11am-3pm)-Solar - Tracking-H</t>
  </si>
  <si>
    <t>ConEd (2pm-6pm)-Solar - Tracking-H</t>
  </si>
  <si>
    <t>ConEd (4pm-8pm)-Solar - Tracking-H</t>
  </si>
  <si>
    <t>ConEd (7pm-11pm)-Solar - Tracking-H</t>
  </si>
  <si>
    <t>Default-Solar - Tracking-H</t>
  </si>
  <si>
    <t>ConEd (11am-3pm)-Solar - Tracking-I</t>
  </si>
  <si>
    <t>ConEd (2pm-6pm)-Solar - Tracking-I</t>
  </si>
  <si>
    <t>ConEd (4pm-8pm)-Solar - Tracking-I</t>
  </si>
  <si>
    <t>ConEd (7pm-11pm)-Solar - Tracking-I</t>
  </si>
  <si>
    <t>Default-Solar - Tracking-I</t>
  </si>
  <si>
    <t>ConEd (11am-3pm)-Solar - Tracking-J</t>
  </si>
  <si>
    <t>ConEd (2pm-6pm)-Solar - Tracking-J</t>
  </si>
  <si>
    <t>ConEd (4pm-8pm)-Solar - Tracking-J</t>
  </si>
  <si>
    <t>ConEd (7pm-11pm)-Solar - Tracking-J</t>
  </si>
  <si>
    <t>Default-Solar - Tracking-K</t>
  </si>
  <si>
    <t>*With current generation profiles, there is no expected generation during NYSEG January DRV window. Therefore, no adjustment is made for NYSEG DRV.</t>
  </si>
  <si>
    <t>Utility-Zone</t>
  </si>
  <si>
    <t>RES</t>
  </si>
  <si>
    <t>ConEd NYC -J</t>
  </si>
  <si>
    <t>ConEd West-I</t>
  </si>
  <si>
    <t>National Grid-A</t>
  </si>
  <si>
    <t>NYSEG-D</t>
  </si>
  <si>
    <t>Orange &amp; Rockland-G</t>
  </si>
  <si>
    <t>PSEG Long Island-K</t>
  </si>
  <si>
    <t>RGE-C</t>
  </si>
  <si>
    <t>COM</t>
  </si>
  <si>
    <t>Central Hudson-G</t>
  </si>
  <si>
    <t>2025 Solar and Wind Appraisal Model</t>
  </si>
  <si>
    <t>Summary Chart - for Informational Purposes Only</t>
  </si>
  <si>
    <t>Financial Data &amp; WACC Calculation</t>
  </si>
  <si>
    <t>VDER - Value of Distributed Energy Resources</t>
  </si>
  <si>
    <t>(Taxable Status Year - 1)</t>
  </si>
  <si>
    <t>(Assumed)</t>
  </si>
  <si>
    <r>
      <t xml:space="preserve">Note: The model assumes that VDER projects receive the maximum possible Market Transition Credit (MTC) by default, but allows a lower MTC or Community Credit (CC) or a Community Adder (CA) to be entered to override the default assumption. </t>
    </r>
    <r>
      <rPr>
        <sz val="11"/>
        <rFont val="Calibri"/>
        <family val="2"/>
      </rPr>
      <t xml:space="preserve">VDER projects may receive either a MTC, a CC or a CA. No VDER project can receive more than one of these credits, and some VDER projects receive none of them. VDER projects may also receive the Inclusive Community Solar Adder (ICSA). If applicable, the ICSA should be added to the CA (if any) and the combined CA and ICSA value should be entered into cell C24.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</si>
</sst>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7" formatCode="&quot;$&quot;#,##0.00_);\(&quot;$&quot;#,##0.00\)"/>
    <numFmt numFmtId="44" formatCode="_(&quot;$&quot;* #,##0.00_);_(&quot;$&quot;* \(#,##0.00\);_(&quot;$&quot;* &quot;-&quot;??_);_(@_)"/>
    <numFmt numFmtId="43" formatCode="_(* #,##0.00_);_(* \(#,##0.00\);_(* &quot;-&quot;??_);_(@_)"/>
    <numFmt numFmtId="164" formatCode="0.0000"/>
    <numFmt numFmtId="165" formatCode="0.000"/>
    <numFmt numFmtId="166" formatCode="_(&quot;$&quot;* #,##0.000_);_(&quot;$&quot;* \(#,##0.000\);_(&quot;$&quot;* &quot;-&quot;??_);_(@_)"/>
    <numFmt numFmtId="167" formatCode="_(* #,##0.0000_);_(* \(#,##0.0000\);_(* &quot;-&quot;??_);_(@_)"/>
    <numFmt numFmtId="168" formatCode="_(* #,##0_);_(* \(#,##0\);_(* &quot;-&quot;??_);_(@_)"/>
    <numFmt numFmtId="169" formatCode="_(&quot;$&quot;* #,##0_);_(&quot;$&quot;* \(#,##0\);_(&quot;$&quot;* &quot;-&quot;??_);_(@_)"/>
    <numFmt numFmtId="170" formatCode="&quot;$&quot;#,##0"/>
    <numFmt numFmtId="171" formatCode="&quot;$&quot;#,##0.0000_);\(&quot;$&quot;#,##0.0000\)"/>
    <numFmt numFmtId="172" formatCode="[$-409]mmmm\ d\,\ yyyy;@"/>
    <numFmt numFmtId="173" formatCode="#,##0;[Red]#,##0"/>
    <numFmt numFmtId="174" formatCode="#,##0.000_);\(#,##0.000\)"/>
    <numFmt numFmtId="175" formatCode="#,##0.0000_);\(#,##0.0000\)"/>
    <numFmt numFmtId="176" formatCode="0.0000_);\(0.0000\)"/>
    <numFmt numFmtId="177" formatCode="0.000_);\(0.000\)"/>
    <numFmt numFmtId="178" formatCode="_(&quot;$&quot;* #,##0.000_);_(&quot;$&quot;* \(#,##0.000\);_(&quot;$&quot;* &quot;-&quot;???_);_(@_)"/>
    <numFmt numFmtId="179" formatCode="0.00_);\(0.00\)"/>
    <numFmt numFmtId="180" formatCode="0.0%"/>
    <numFmt numFmtId="181" formatCode="0.0"/>
  </numFmts>
  <fonts count="22" x14ac:knownFonts="1">
    <font>
      <sz val="11"/>
      <color theme="1"/>
      <name val="Aptos Narrow"/>
      <family val="2"/>
      <scheme val="minor"/>
    </font>
    <font>
      <sz val="11"/>
      <color theme="1"/>
      <name val="Aptos Narrow"/>
      <family val="2"/>
      <scheme val="minor"/>
    </font>
    <font>
      <sz val="11"/>
      <name val="Calibri"/>
      <family val="2"/>
    </font>
    <font>
      <b/>
      <sz val="10"/>
      <color theme="0"/>
      <name val="Aptos Display"/>
      <family val="2"/>
      <scheme val="major"/>
    </font>
    <font>
      <sz val="9"/>
      <name val="Aptos Narrow"/>
      <family val="2"/>
      <scheme val="minor"/>
    </font>
    <font>
      <sz val="9"/>
      <name val="Aptos Narrow"/>
      <family val="2"/>
      <scheme val="minor"/>
    </font>
    <font>
      <i/>
      <sz val="9"/>
      <name val="Aptos Narrow"/>
      <family val="2"/>
      <scheme val="minor"/>
    </font>
    <font>
      <sz val="9"/>
      <color theme="1"/>
      <name val="Aptos Display"/>
      <family val="2"/>
      <scheme val="major"/>
    </font>
    <font>
      <sz val="9"/>
      <color theme="1"/>
      <name val="Aptos Narrow"/>
      <family val="2"/>
      <scheme val="minor"/>
    </font>
    <font>
      <sz val="8"/>
      <name val="Aptos Narrow"/>
      <family val="2"/>
      <scheme val="minor"/>
    </font>
    <font>
      <sz val="9"/>
      <color theme="1"/>
      <name val="Arial"/>
      <family val="2"/>
    </font>
    <font>
      <sz val="11"/>
      <color rgb="FF000000"/>
      <name val="Calibri"/>
      <family val="2"/>
    </font>
    <font>
      <sz val="11"/>
      <color theme="1"/>
      <name val="Calibri"/>
      <family val="2"/>
    </font>
    <font>
      <sz val="11"/>
      <color rgb="FF0000FF"/>
      <name val="Calibri"/>
      <family val="2"/>
    </font>
    <font>
      <b/>
      <i/>
      <sz val="11"/>
      <color rgb="FFFF0000"/>
      <name val="Calibri"/>
      <family val="2"/>
    </font>
    <font>
      <sz val="11"/>
      <color rgb="FFFF0000"/>
      <name val="Calibri"/>
      <family val="2"/>
    </font>
    <font>
      <i/>
      <sz val="11"/>
      <name val="Calibri"/>
      <family val="2"/>
    </font>
    <font>
      <b/>
      <u/>
      <sz val="11"/>
      <color theme="1"/>
      <name val="Calibri"/>
      <family val="2"/>
    </font>
    <font>
      <b/>
      <sz val="11"/>
      <name val="Calibri"/>
      <family val="2"/>
    </font>
    <font>
      <b/>
      <sz val="11"/>
      <color theme="1"/>
      <name val="Calibri"/>
      <family val="2"/>
    </font>
    <font>
      <b/>
      <sz val="14"/>
      <name val="Calibri"/>
      <family val="2"/>
    </font>
    <font>
      <b/>
      <sz val="11"/>
      <color theme="0"/>
      <name val="Calibri"/>
      <family val="2"/>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2"/>
        <bgColor indexed="64"/>
      </patternFill>
    </fill>
    <fill>
      <patternFill patternType="solid">
        <fgColor theme="4" tint="0.59996337778862885"/>
        <bgColor indexed="64"/>
      </patternFill>
    </fill>
    <fill>
      <patternFill patternType="solid">
        <fgColor rgb="FFFFFFFF"/>
        <bgColor rgb="FF000000"/>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dotted">
        <color auto="1"/>
      </left>
      <right style="dotted">
        <color auto="1"/>
      </right>
      <top/>
      <bottom/>
      <diagonal/>
    </border>
    <border>
      <left style="dotted">
        <color auto="1"/>
      </left>
      <right style="dotted">
        <color auto="1"/>
      </right>
      <top style="thin">
        <color auto="1"/>
      </top>
      <bottom/>
      <diagonal/>
    </border>
    <border>
      <left style="dotted">
        <color auto="1"/>
      </left>
      <right style="thin">
        <color auto="1"/>
      </right>
      <top/>
      <bottom/>
      <diagonal/>
    </border>
    <border>
      <left style="dotted">
        <color auto="1"/>
      </left>
      <right style="thin">
        <color auto="1"/>
      </right>
      <top style="thin">
        <color auto="1"/>
      </top>
      <bottom/>
      <diagonal/>
    </border>
    <border>
      <left style="thin">
        <color auto="1"/>
      </left>
      <right style="thin">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right style="dotted">
        <color auto="1"/>
      </right>
      <top/>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5" borderId="36" applyNumberFormat="0">
      <alignment vertical="center"/>
    </xf>
    <xf numFmtId="0" fontId="4" fillId="0" borderId="37" applyNumberFormat="0">
      <alignment vertical="center"/>
    </xf>
    <xf numFmtId="0" fontId="5" fillId="6" borderId="37" applyNumberFormat="0">
      <alignment vertical="center"/>
    </xf>
    <xf numFmtId="0" fontId="6" fillId="7" borderId="37" applyNumberFormat="0">
      <alignment vertical="center"/>
    </xf>
    <xf numFmtId="0" fontId="7" fillId="8" borderId="37" applyAlignment="0">
      <alignment horizontal="left"/>
    </xf>
    <xf numFmtId="0" fontId="8" fillId="9" borderId="37" applyNumberFormat="0">
      <alignment vertical="center"/>
    </xf>
    <xf numFmtId="0" fontId="10" fillId="9" borderId="37" applyNumberFormat="0">
      <alignment vertical="center"/>
    </xf>
  </cellStyleXfs>
  <cellXfs count="247">
    <xf numFmtId="0" fontId="0" fillId="0" borderId="0" xfId="0"/>
    <xf numFmtId="166" fontId="2" fillId="2" borderId="6" xfId="2" applyNumberFormat="1" applyFont="1" applyFill="1" applyBorder="1" applyAlignment="1" applyProtection="1">
      <alignment horizontal="right"/>
    </xf>
    <xf numFmtId="178" fontId="13" fillId="2" borderId="8" xfId="2" applyNumberFormat="1" applyFont="1" applyFill="1" applyBorder="1" applyProtection="1"/>
    <xf numFmtId="178" fontId="13" fillId="2" borderId="10" xfId="2" applyNumberFormat="1" applyFont="1" applyFill="1" applyBorder="1" applyProtection="1"/>
    <xf numFmtId="1" fontId="12" fillId="2" borderId="21" xfId="2" applyNumberFormat="1" applyFont="1" applyFill="1" applyBorder="1" applyProtection="1"/>
    <xf numFmtId="1" fontId="12" fillId="2" borderId="13" xfId="2" applyNumberFormat="1" applyFont="1" applyFill="1" applyBorder="1" applyProtection="1"/>
    <xf numFmtId="1" fontId="12" fillId="2" borderId="15" xfId="2" applyNumberFormat="1" applyFont="1" applyFill="1" applyBorder="1" applyProtection="1"/>
    <xf numFmtId="168" fontId="12" fillId="2" borderId="23" xfId="1" applyNumberFormat="1" applyFont="1" applyFill="1" applyBorder="1" applyProtection="1"/>
    <xf numFmtId="168" fontId="12" fillId="2" borderId="12" xfId="1" applyNumberFormat="1" applyFont="1" applyFill="1" applyBorder="1" applyProtection="1"/>
    <xf numFmtId="168" fontId="12" fillId="2" borderId="14" xfId="1" applyNumberFormat="1" applyFont="1" applyFill="1" applyBorder="1" applyProtection="1"/>
    <xf numFmtId="168" fontId="12" fillId="2" borderId="21" xfId="1" applyNumberFormat="1" applyFont="1" applyFill="1" applyBorder="1" applyProtection="1"/>
    <xf numFmtId="168" fontId="12" fillId="2" borderId="13" xfId="1" applyNumberFormat="1" applyFont="1" applyFill="1" applyBorder="1" applyProtection="1"/>
    <xf numFmtId="168" fontId="12" fillId="2" borderId="15" xfId="1" applyNumberFormat="1" applyFont="1" applyFill="1" applyBorder="1" applyProtection="1"/>
    <xf numFmtId="168" fontId="12" fillId="2" borderId="24" xfId="1" applyNumberFormat="1" applyFont="1" applyFill="1" applyBorder="1" applyProtection="1"/>
    <xf numFmtId="168" fontId="12" fillId="2" borderId="19" xfId="1" applyNumberFormat="1" applyFont="1" applyFill="1" applyBorder="1" applyProtection="1"/>
    <xf numFmtId="168" fontId="12" fillId="2" borderId="20" xfId="1" applyNumberFormat="1" applyFont="1" applyFill="1" applyBorder="1" applyProtection="1"/>
    <xf numFmtId="169" fontId="19" fillId="3" borderId="24" xfId="2" applyNumberFormat="1" applyFont="1" applyFill="1" applyBorder="1" applyProtection="1"/>
    <xf numFmtId="169" fontId="19" fillId="3" borderId="19" xfId="2" applyNumberFormat="1" applyFont="1" applyFill="1" applyBorder="1" applyProtection="1"/>
    <xf numFmtId="169" fontId="19" fillId="3" borderId="20" xfId="2" applyNumberFormat="1" applyFont="1" applyFill="1" applyBorder="1" applyProtection="1"/>
    <xf numFmtId="169" fontId="12" fillId="2" borderId="23" xfId="2" applyNumberFormat="1" applyFont="1" applyFill="1" applyBorder="1" applyProtection="1"/>
    <xf numFmtId="169" fontId="12" fillId="2" borderId="12" xfId="2" applyNumberFormat="1" applyFont="1" applyFill="1" applyBorder="1" applyProtection="1"/>
    <xf numFmtId="169" fontId="12" fillId="2" borderId="14" xfId="2" applyNumberFormat="1" applyFont="1" applyFill="1" applyBorder="1" applyProtection="1"/>
    <xf numFmtId="169" fontId="12" fillId="2" borderId="21" xfId="2" applyNumberFormat="1" applyFont="1" applyFill="1" applyBorder="1" applyProtection="1"/>
    <xf numFmtId="169" fontId="12" fillId="2" borderId="13" xfId="2" applyNumberFormat="1" applyFont="1" applyFill="1" applyBorder="1" applyProtection="1"/>
    <xf numFmtId="169" fontId="12" fillId="2" borderId="15" xfId="2" applyNumberFormat="1" applyFont="1" applyFill="1" applyBorder="1" applyProtection="1"/>
    <xf numFmtId="169" fontId="12" fillId="2" borderId="22" xfId="2" applyNumberFormat="1" applyFont="1" applyFill="1" applyBorder="1" applyProtection="1"/>
    <xf numFmtId="169" fontId="12" fillId="2" borderId="17" xfId="2" applyNumberFormat="1" applyFont="1" applyFill="1" applyBorder="1" applyProtection="1"/>
    <xf numFmtId="169" fontId="12" fillId="2" borderId="18" xfId="2" applyNumberFormat="1" applyFont="1" applyFill="1" applyBorder="1" applyProtection="1"/>
    <xf numFmtId="169" fontId="19" fillId="2" borderId="23" xfId="2" applyNumberFormat="1" applyFont="1" applyFill="1" applyBorder="1" applyProtection="1"/>
    <xf numFmtId="169" fontId="19" fillId="2" borderId="12" xfId="2" applyNumberFormat="1" applyFont="1" applyFill="1" applyBorder="1" applyProtection="1"/>
    <xf numFmtId="169" fontId="19" fillId="2" borderId="14" xfId="2" applyNumberFormat="1" applyFont="1" applyFill="1" applyBorder="1" applyProtection="1"/>
    <xf numFmtId="169" fontId="18" fillId="2" borderId="0" xfId="2" applyNumberFormat="1" applyFont="1" applyFill="1" applyBorder="1" applyProtection="1"/>
    <xf numFmtId="10" fontId="2" fillId="2" borderId="0" xfId="3" applyNumberFormat="1" applyFont="1" applyFill="1" applyBorder="1" applyProtection="1"/>
    <xf numFmtId="177" fontId="2" fillId="2" borderId="0" xfId="3" applyNumberFormat="1" applyFont="1" applyFill="1" applyBorder="1" applyProtection="1"/>
    <xf numFmtId="7" fontId="2" fillId="2" borderId="0" xfId="1" applyNumberFormat="1" applyFont="1" applyFill="1" applyBorder="1" applyProtection="1"/>
    <xf numFmtId="171" fontId="2" fillId="2" borderId="0" xfId="1" applyNumberFormat="1" applyFont="1" applyFill="1" applyBorder="1" applyProtection="1"/>
    <xf numFmtId="168" fontId="2" fillId="2" borderId="0" xfId="1" applyNumberFormat="1" applyFont="1" applyFill="1" applyBorder="1" applyProtection="1"/>
    <xf numFmtId="0" fontId="2" fillId="4" borderId="0" xfId="0" applyFont="1" applyFill="1" applyAlignment="1" applyProtection="1">
      <alignment horizontal="right"/>
      <protection locked="0"/>
    </xf>
    <xf numFmtId="3" fontId="2" fillId="4" borderId="0" xfId="1" applyNumberFormat="1" applyFont="1" applyFill="1" applyBorder="1" applyProtection="1">
      <protection locked="0"/>
    </xf>
    <xf numFmtId="14" fontId="2" fillId="4" borderId="0" xfId="0" applyNumberFormat="1" applyFont="1" applyFill="1" applyProtection="1">
      <protection locked="0"/>
    </xf>
    <xf numFmtId="10" fontId="2" fillId="4" borderId="0" xfId="0" applyNumberFormat="1" applyFont="1" applyFill="1" applyProtection="1">
      <protection locked="0"/>
    </xf>
    <xf numFmtId="170" fontId="2" fillId="4" borderId="0" xfId="1" applyNumberFormat="1" applyFont="1" applyFill="1" applyBorder="1" applyProtection="1">
      <protection locked="0"/>
    </xf>
    <xf numFmtId="10" fontId="2" fillId="4" borderId="11" xfId="3" applyNumberFormat="1" applyFont="1" applyFill="1" applyBorder="1" applyProtection="1">
      <protection locked="0"/>
    </xf>
    <xf numFmtId="9" fontId="2" fillId="2" borderId="2" xfId="3" applyFont="1" applyFill="1" applyBorder="1" applyProtection="1"/>
    <xf numFmtId="0" fontId="2" fillId="2" borderId="0" xfId="0" applyFont="1" applyFill="1" applyAlignment="1" applyProtection="1">
      <alignment horizontal="right"/>
      <protection locked="0"/>
    </xf>
    <xf numFmtId="44" fontId="2" fillId="2" borderId="0" xfId="2" applyFont="1" applyFill="1" applyBorder="1" applyAlignment="1" applyProtection="1">
      <alignment horizontal="right"/>
      <protection locked="0"/>
    </xf>
    <xf numFmtId="171" fontId="2" fillId="2" borderId="0" xfId="2" applyNumberFormat="1" applyFont="1" applyFill="1" applyBorder="1" applyProtection="1"/>
    <xf numFmtId="171" fontId="2" fillId="2" borderId="0" xfId="2" applyNumberFormat="1" applyFont="1" applyFill="1" applyBorder="1" applyProtection="1">
      <protection locked="0"/>
    </xf>
    <xf numFmtId="5" fontId="2" fillId="2" borderId="0" xfId="2" applyNumberFormat="1" applyFont="1" applyFill="1" applyBorder="1" applyProtection="1">
      <protection locked="0"/>
    </xf>
    <xf numFmtId="0" fontId="2" fillId="2" borderId="11" xfId="0" applyFont="1" applyFill="1" applyBorder="1" applyAlignment="1" applyProtection="1">
      <alignment horizontal="right"/>
      <protection locked="0"/>
    </xf>
    <xf numFmtId="9" fontId="2" fillId="2" borderId="0" xfId="3" applyFont="1" applyFill="1" applyProtection="1"/>
    <xf numFmtId="0" fontId="2" fillId="4" borderId="0" xfId="3" applyNumberFormat="1" applyFont="1" applyFill="1" applyBorder="1" applyAlignment="1" applyProtection="1">
      <alignment horizontal="right"/>
      <protection locked="0"/>
    </xf>
    <xf numFmtId="10" fontId="2" fillId="3" borderId="2" xfId="3" applyNumberFormat="1" applyFont="1" applyFill="1" applyBorder="1" applyProtection="1"/>
    <xf numFmtId="10" fontId="2" fillId="3" borderId="0" xfId="3" applyNumberFormat="1" applyFont="1" applyFill="1" applyBorder="1" applyProtection="1"/>
    <xf numFmtId="7" fontId="2" fillId="3" borderId="0" xfId="2" applyNumberFormat="1" applyFont="1" applyFill="1" applyBorder="1" applyProtection="1"/>
    <xf numFmtId="9" fontId="2" fillId="3" borderId="0" xfId="2" applyNumberFormat="1" applyFont="1" applyFill="1" applyBorder="1" applyProtection="1"/>
    <xf numFmtId="180" fontId="2" fillId="3" borderId="0" xfId="3" applyNumberFormat="1" applyFont="1" applyFill="1" applyBorder="1" applyProtection="1"/>
    <xf numFmtId="9" fontId="2" fillId="3" borderId="0" xfId="3" applyFont="1" applyFill="1" applyBorder="1" applyProtection="1"/>
    <xf numFmtId="3" fontId="2" fillId="3" borderId="0" xfId="2" applyNumberFormat="1" applyFont="1" applyFill="1" applyBorder="1" applyAlignment="1" applyProtection="1">
      <alignment horizontal="right"/>
    </xf>
    <xf numFmtId="0" fontId="2" fillId="3" borderId="0" xfId="2" applyNumberFormat="1" applyFont="1" applyFill="1" applyBorder="1" applyAlignment="1" applyProtection="1">
      <alignment horizontal="right"/>
    </xf>
    <xf numFmtId="0" fontId="2" fillId="3" borderId="0" xfId="2" applyNumberFormat="1" applyFont="1" applyFill="1" applyBorder="1" applyProtection="1"/>
    <xf numFmtId="0" fontId="2" fillId="3" borderId="11" xfId="2" applyNumberFormat="1" applyFont="1" applyFill="1" applyBorder="1" applyProtection="1"/>
    <xf numFmtId="9" fontId="19" fillId="3" borderId="28" xfId="3" applyFont="1" applyFill="1" applyBorder="1" applyProtection="1"/>
    <xf numFmtId="9" fontId="2" fillId="3" borderId="29" xfId="3" applyFont="1" applyFill="1" applyBorder="1" applyProtection="1"/>
    <xf numFmtId="9" fontId="2" fillId="3" borderId="30" xfId="3" applyFont="1" applyFill="1" applyBorder="1" applyProtection="1"/>
    <xf numFmtId="9" fontId="2" fillId="3" borderId="31" xfId="3" applyFont="1" applyFill="1" applyBorder="1" applyAlignment="1" applyProtection="1">
      <alignment horizontal="right"/>
    </xf>
    <xf numFmtId="9" fontId="2" fillId="3" borderId="32" xfId="3" applyFont="1" applyFill="1" applyBorder="1" applyProtection="1"/>
    <xf numFmtId="9" fontId="18" fillId="3" borderId="31" xfId="3" applyFont="1" applyFill="1" applyBorder="1" applyProtection="1"/>
    <xf numFmtId="9" fontId="2" fillId="3" borderId="33" xfId="3" applyFont="1" applyFill="1" applyBorder="1" applyAlignment="1" applyProtection="1">
      <alignment horizontal="right"/>
    </xf>
    <xf numFmtId="10" fontId="2" fillId="3" borderId="34" xfId="3" applyNumberFormat="1" applyFont="1" applyFill="1" applyBorder="1" applyProtection="1"/>
    <xf numFmtId="9" fontId="2" fillId="3" borderId="34" xfId="3" applyFont="1" applyFill="1" applyBorder="1" applyProtection="1"/>
    <xf numFmtId="9" fontId="2" fillId="3" borderId="35" xfId="3" applyFont="1" applyFill="1" applyBorder="1" applyProtection="1"/>
    <xf numFmtId="0" fontId="2" fillId="4" borderId="0" xfId="0" applyFont="1" applyFill="1" applyAlignment="1" applyProtection="1">
      <alignment horizontal="right"/>
    </xf>
    <xf numFmtId="0" fontId="18" fillId="2" borderId="0" xfId="0" applyFont="1" applyFill="1" applyAlignment="1" applyProtection="1">
      <alignment horizontal="right" vertical="center"/>
    </xf>
    <xf numFmtId="172" fontId="2" fillId="2" borderId="0" xfId="0" quotePrefix="1" applyNumberFormat="1" applyFont="1" applyFill="1" applyAlignment="1" applyProtection="1">
      <alignment horizontal="right"/>
    </xf>
    <xf numFmtId="0" fontId="2" fillId="2" borderId="0" xfId="0" applyFont="1" applyFill="1" applyProtection="1"/>
    <xf numFmtId="0" fontId="2" fillId="2" borderId="0" xfId="0" applyFont="1" applyFill="1" applyAlignment="1" applyProtection="1">
      <alignment horizontal="right"/>
    </xf>
    <xf numFmtId="0" fontId="18" fillId="2" borderId="1" xfId="0" applyFont="1" applyFill="1" applyBorder="1" applyProtection="1"/>
    <xf numFmtId="0" fontId="2" fillId="2" borderId="2" xfId="0" applyFont="1" applyFill="1" applyBorder="1" applyProtection="1"/>
    <xf numFmtId="172" fontId="2" fillId="2" borderId="3" xfId="0" quotePrefix="1" applyNumberFormat="1" applyFont="1" applyFill="1" applyBorder="1" applyAlignment="1" applyProtection="1">
      <alignment horizontal="right"/>
    </xf>
    <xf numFmtId="0" fontId="2" fillId="2" borderId="7" xfId="0" applyFont="1" applyFill="1" applyBorder="1" applyAlignment="1" applyProtection="1">
      <alignment horizontal="right" vertical="center"/>
    </xf>
    <xf numFmtId="0" fontId="2" fillId="2" borderId="0" xfId="0" applyFont="1" applyFill="1" applyAlignment="1" applyProtection="1">
      <alignment horizontal="left" vertical="center" shrinkToFit="1"/>
    </xf>
    <xf numFmtId="0" fontId="2" fillId="2" borderId="8" xfId="0" applyFont="1" applyFill="1" applyBorder="1" applyProtection="1"/>
    <xf numFmtId="0" fontId="2" fillId="2" borderId="0" xfId="0" applyNumberFormat="1" applyFont="1" applyFill="1" applyProtection="1"/>
    <xf numFmtId="14" fontId="2" fillId="2" borderId="0" xfId="3" applyNumberFormat="1" applyFont="1" applyFill="1" applyProtection="1"/>
    <xf numFmtId="14" fontId="2" fillId="2" borderId="0" xfId="0" applyNumberFormat="1" applyFont="1" applyFill="1" applyProtection="1"/>
    <xf numFmtId="0" fontId="2" fillId="2" borderId="7" xfId="0" applyFont="1" applyFill="1" applyBorder="1" applyAlignment="1" applyProtection="1">
      <alignment horizontal="right" vertical="center" wrapText="1"/>
    </xf>
    <xf numFmtId="10" fontId="2" fillId="2" borderId="0" xfId="0" applyNumberFormat="1" applyFont="1" applyFill="1" applyProtection="1"/>
    <xf numFmtId="0" fontId="2" fillId="2" borderId="9" xfId="0" applyFont="1" applyFill="1" applyBorder="1" applyAlignment="1" applyProtection="1">
      <alignment horizontal="right" vertical="center"/>
    </xf>
    <xf numFmtId="0" fontId="2" fillId="2" borderId="11" xfId="0" applyFont="1" applyFill="1" applyBorder="1" applyProtection="1"/>
    <xf numFmtId="0" fontId="2" fillId="2" borderId="10" xfId="0" applyFont="1" applyFill="1" applyBorder="1" applyProtection="1"/>
    <xf numFmtId="0" fontId="18" fillId="2" borderId="1" xfId="0" applyFont="1" applyFill="1" applyBorder="1" applyAlignment="1" applyProtection="1">
      <alignment horizontal="left" vertical="center"/>
    </xf>
    <xf numFmtId="0" fontId="2" fillId="2" borderId="3" xfId="0" applyFont="1" applyFill="1" applyBorder="1" applyProtection="1"/>
    <xf numFmtId="0" fontId="21" fillId="2" borderId="0" xfId="0" applyFont="1" applyFill="1" applyAlignment="1" applyProtection="1">
      <alignment horizontal="center" vertical="center"/>
    </xf>
    <xf numFmtId="0" fontId="12" fillId="2" borderId="0" xfId="0" applyFont="1" applyFill="1" applyAlignment="1" applyProtection="1">
      <alignment vertical="center"/>
    </xf>
    <xf numFmtId="180" fontId="12" fillId="2" borderId="0" xfId="3" applyNumberFormat="1" applyFont="1" applyFill="1" applyBorder="1" applyAlignment="1" applyProtection="1">
      <alignment vertical="center"/>
    </xf>
    <xf numFmtId="10" fontId="12" fillId="2" borderId="0" xfId="0" applyNumberFormat="1" applyFont="1" applyFill="1" applyAlignment="1" applyProtection="1">
      <alignment vertical="center"/>
    </xf>
    <xf numFmtId="0" fontId="18" fillId="2" borderId="7" xfId="0" applyFont="1" applyFill="1" applyBorder="1" applyAlignment="1" applyProtection="1">
      <alignment horizontal="left" vertical="center"/>
    </xf>
    <xf numFmtId="0" fontId="2" fillId="2" borderId="8" xfId="0" applyFont="1" applyFill="1" applyBorder="1" applyAlignment="1" applyProtection="1">
      <alignment horizontal="right"/>
    </xf>
    <xf numFmtId="9" fontId="12" fillId="2" borderId="0" xfId="0" applyNumberFormat="1" applyFont="1" applyFill="1" applyAlignment="1" applyProtection="1">
      <alignment vertical="center"/>
    </xf>
    <xf numFmtId="0" fontId="19" fillId="2" borderId="0" xfId="0" applyFont="1" applyFill="1" applyAlignment="1" applyProtection="1">
      <alignment vertical="center"/>
    </xf>
    <xf numFmtId="180" fontId="19" fillId="2" borderId="0" xfId="3" applyNumberFormat="1" applyFont="1" applyFill="1" applyBorder="1" applyAlignment="1" applyProtection="1">
      <alignment vertical="center"/>
    </xf>
    <xf numFmtId="0" fontId="2" fillId="2" borderId="9" xfId="0" applyFont="1" applyFill="1" applyBorder="1" applyAlignment="1" applyProtection="1">
      <alignment horizontal="right"/>
    </xf>
    <xf numFmtId="0" fontId="2" fillId="2" borderId="0" xfId="0" applyFont="1" applyFill="1" applyAlignment="1" applyProtection="1">
      <alignment horizontal="right" vertical="center"/>
    </xf>
    <xf numFmtId="0" fontId="2" fillId="2" borderId="8" xfId="0" applyFont="1" applyFill="1" applyBorder="1" applyAlignment="1" applyProtection="1">
      <alignment horizontal="center"/>
    </xf>
    <xf numFmtId="0" fontId="18" fillId="3" borderId="1" xfId="0" applyFont="1" applyFill="1" applyBorder="1" applyAlignment="1" applyProtection="1">
      <alignment horizontal="left" vertical="center"/>
    </xf>
    <xf numFmtId="0" fontId="2" fillId="3" borderId="2" xfId="0" applyFont="1" applyFill="1" applyBorder="1" applyProtection="1"/>
    <xf numFmtId="0" fontId="2" fillId="3" borderId="3" xfId="0" applyFont="1" applyFill="1" applyBorder="1" applyProtection="1"/>
    <xf numFmtId="0" fontId="2" fillId="3" borderId="7" xfId="0" applyFont="1" applyFill="1" applyBorder="1" applyAlignment="1" applyProtection="1">
      <alignment horizontal="right" vertical="center"/>
    </xf>
    <xf numFmtId="0" fontId="2" fillId="3" borderId="0" xfId="0" applyFont="1" applyFill="1" applyProtection="1"/>
    <xf numFmtId="0" fontId="2" fillId="3" borderId="8" xfId="0" applyFont="1" applyFill="1" applyBorder="1" applyProtection="1"/>
    <xf numFmtId="0" fontId="2" fillId="3" borderId="0" xfId="0" applyFont="1" applyFill="1" applyAlignment="1" applyProtection="1">
      <alignment horizontal="right"/>
    </xf>
    <xf numFmtId="10" fontId="2" fillId="3" borderId="0" xfId="0" applyNumberFormat="1" applyFont="1" applyFill="1" applyProtection="1"/>
    <xf numFmtId="0" fontId="2" fillId="3" borderId="9" xfId="0" applyFont="1" applyFill="1" applyBorder="1" applyAlignment="1" applyProtection="1">
      <alignment horizontal="right" vertical="center"/>
    </xf>
    <xf numFmtId="0" fontId="2" fillId="3" borderId="11" xfId="0" applyFont="1" applyFill="1" applyBorder="1" applyProtection="1"/>
    <xf numFmtId="0" fontId="12" fillId="2" borderId="25" xfId="0" applyFont="1" applyFill="1" applyBorder="1" applyProtection="1"/>
    <xf numFmtId="0" fontId="12" fillId="2" borderId="26" xfId="0" applyFont="1" applyFill="1" applyBorder="1" applyProtection="1"/>
    <xf numFmtId="0" fontId="12" fillId="2" borderId="22" xfId="0" applyFont="1" applyFill="1" applyBorder="1" applyProtection="1"/>
    <xf numFmtId="0" fontId="12" fillId="2" borderId="17" xfId="0" applyFont="1" applyFill="1" applyBorder="1" applyProtection="1"/>
    <xf numFmtId="0" fontId="12" fillId="2" borderId="18" xfId="0" applyFont="1" applyFill="1" applyBorder="1" applyProtection="1"/>
    <xf numFmtId="0" fontId="16" fillId="2" borderId="0" xfId="0" applyFont="1" applyFill="1" applyProtection="1"/>
    <xf numFmtId="0" fontId="12" fillId="2" borderId="27" xfId="0" applyFont="1" applyFill="1" applyBorder="1" applyProtection="1"/>
    <xf numFmtId="0" fontId="17" fillId="2" borderId="25" xfId="0" applyFont="1" applyFill="1" applyBorder="1" applyProtection="1"/>
    <xf numFmtId="0" fontId="17" fillId="2" borderId="27" xfId="0" applyFont="1" applyFill="1" applyBorder="1" applyProtection="1"/>
    <xf numFmtId="0" fontId="12" fillId="2" borderId="23" xfId="0" applyFont="1" applyFill="1" applyBorder="1" applyProtection="1"/>
    <xf numFmtId="0" fontId="12" fillId="2" borderId="12" xfId="0" applyFont="1" applyFill="1" applyBorder="1" applyProtection="1"/>
    <xf numFmtId="0" fontId="12" fillId="2" borderId="14" xfId="0" applyFont="1" applyFill="1" applyBorder="1" applyProtection="1"/>
    <xf numFmtId="0" fontId="12" fillId="2" borderId="16" xfId="0" applyFont="1" applyFill="1" applyBorder="1" applyProtection="1"/>
    <xf numFmtId="0" fontId="18" fillId="2" borderId="0" xfId="0" applyFont="1" applyFill="1" applyProtection="1"/>
    <xf numFmtId="0" fontId="19" fillId="3" borderId="16" xfId="0" applyFont="1" applyFill="1" applyBorder="1" applyProtection="1"/>
    <xf numFmtId="0" fontId="19" fillId="2" borderId="27" xfId="0" applyFont="1" applyFill="1" applyBorder="1" applyProtection="1"/>
    <xf numFmtId="164" fontId="12" fillId="2" borderId="23" xfId="0" applyNumberFormat="1" applyFont="1" applyFill="1" applyBorder="1" applyProtection="1"/>
    <xf numFmtId="164" fontId="12" fillId="2" borderId="12" xfId="0" applyNumberFormat="1" applyFont="1" applyFill="1" applyBorder="1" applyProtection="1"/>
    <xf numFmtId="164" fontId="12" fillId="2" borderId="14" xfId="0" applyNumberFormat="1" applyFont="1" applyFill="1" applyBorder="1" applyProtection="1"/>
    <xf numFmtId="167" fontId="18" fillId="2" borderId="0" xfId="0" applyNumberFormat="1" applyFont="1" applyFill="1" applyAlignment="1" applyProtection="1">
      <alignment horizontal="left"/>
    </xf>
    <xf numFmtId="0" fontId="18" fillId="2" borderId="0" xfId="0" applyFont="1" applyFill="1" applyAlignment="1" applyProtection="1">
      <alignment horizontal="right"/>
    </xf>
    <xf numFmtId="167" fontId="18" fillId="2" borderId="0" xfId="0" quotePrefix="1" applyNumberFormat="1" applyFont="1" applyFill="1" applyAlignment="1" applyProtection="1">
      <alignment horizontal="left"/>
    </xf>
    <xf numFmtId="0" fontId="2" fillId="2" borderId="0" xfId="0" quotePrefix="1" applyFont="1" applyFill="1" applyProtection="1"/>
    <xf numFmtId="167" fontId="2" fillId="2" borderId="0" xfId="0" applyNumberFormat="1" applyFont="1" applyFill="1" applyProtection="1"/>
    <xf numFmtId="43" fontId="2" fillId="2" borderId="0" xfId="0" applyNumberFormat="1" applyFont="1" applyFill="1" applyProtection="1"/>
    <xf numFmtId="176" fontId="2" fillId="2" borderId="0" xfId="0" applyNumberFormat="1" applyFont="1" applyFill="1" applyProtection="1"/>
    <xf numFmtId="173" fontId="2" fillId="2" borderId="0" xfId="0" applyNumberFormat="1" applyFont="1" applyFill="1" applyProtection="1"/>
    <xf numFmtId="168" fontId="2" fillId="2" borderId="0" xfId="0" applyNumberFormat="1" applyFont="1" applyFill="1" applyProtection="1"/>
    <xf numFmtId="0" fontId="2" fillId="2" borderId="0" xfId="0" applyFont="1" applyFill="1" applyAlignment="1" applyProtection="1">
      <alignment horizontal="left" indent="2"/>
    </xf>
    <xf numFmtId="5" fontId="2" fillId="2" borderId="0" xfId="0" applyNumberFormat="1" applyFont="1" applyFill="1" applyProtection="1"/>
    <xf numFmtId="0" fontId="2" fillId="2" borderId="0" xfId="0" applyFont="1" applyFill="1" applyAlignment="1" applyProtection="1">
      <alignment horizontal="left" indent="1"/>
    </xf>
    <xf numFmtId="174" fontId="2" fillId="2" borderId="0" xfId="0" applyNumberFormat="1" applyFont="1" applyFill="1" applyProtection="1"/>
    <xf numFmtId="173" fontId="2" fillId="2" borderId="0" xfId="0" applyNumberFormat="1" applyFont="1" applyFill="1" applyAlignment="1" applyProtection="1">
      <alignment horizontal="right" indent="1"/>
    </xf>
    <xf numFmtId="9" fontId="2" fillId="2" borderId="0" xfId="0" applyNumberFormat="1" applyFont="1" applyFill="1" applyProtection="1"/>
    <xf numFmtId="175" fontId="2" fillId="2" borderId="0" xfId="0" applyNumberFormat="1" applyFont="1" applyFill="1" applyProtection="1"/>
    <xf numFmtId="7" fontId="2" fillId="2" borderId="0" xfId="0" applyNumberFormat="1" applyFont="1" applyFill="1" applyProtection="1"/>
    <xf numFmtId="37" fontId="2" fillId="2" borderId="0" xfId="0" applyNumberFormat="1" applyFont="1" applyFill="1" applyProtection="1"/>
    <xf numFmtId="39" fontId="2" fillId="2" borderId="0" xfId="0" applyNumberFormat="1" applyFont="1" applyFill="1" applyProtection="1"/>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164" fontId="2" fillId="2" borderId="3" xfId="0" applyNumberFormat="1" applyFont="1" applyFill="1" applyBorder="1" applyAlignment="1" applyProtection="1">
      <alignment horizontal="center"/>
    </xf>
    <xf numFmtId="0" fontId="2" fillId="2" borderId="4" xfId="0" applyFont="1" applyFill="1" applyBorder="1" applyProtection="1"/>
    <xf numFmtId="165" fontId="2" fillId="2" borderId="5" xfId="0" applyNumberFormat="1" applyFont="1" applyFill="1" applyBorder="1" applyAlignment="1" applyProtection="1">
      <alignment horizontal="right"/>
    </xf>
    <xf numFmtId="0" fontId="2" fillId="2" borderId="4" xfId="0" applyFont="1" applyFill="1" applyBorder="1" applyAlignment="1" applyProtection="1">
      <alignment horizontal="center"/>
    </xf>
    <xf numFmtId="0" fontId="2" fillId="2" borderId="6" xfId="0" applyFont="1" applyFill="1" applyBorder="1" applyProtection="1"/>
    <xf numFmtId="0" fontId="2" fillId="2" borderId="6" xfId="0" applyFont="1" applyFill="1" applyBorder="1" applyAlignment="1" applyProtection="1">
      <alignment horizontal="center"/>
    </xf>
    <xf numFmtId="0" fontId="2" fillId="2" borderId="16" xfId="0" applyFont="1" applyFill="1" applyBorder="1" applyProtection="1"/>
    <xf numFmtId="164" fontId="13" fillId="2" borderId="3" xfId="0" applyNumberFormat="1" applyFont="1" applyFill="1" applyBorder="1" applyAlignment="1" applyProtection="1">
      <alignment horizontal="center"/>
    </xf>
    <xf numFmtId="179" fontId="2" fillId="2" borderId="6" xfId="0" applyNumberFormat="1" applyFont="1" applyFill="1" applyBorder="1" applyAlignment="1" applyProtection="1">
      <alignment horizontal="center"/>
    </xf>
    <xf numFmtId="0" fontId="2" fillId="2" borderId="16" xfId="0" applyFont="1" applyFill="1" applyBorder="1" applyAlignment="1" applyProtection="1">
      <alignment horizontal="center"/>
    </xf>
    <xf numFmtId="179" fontId="2" fillId="2" borderId="16" xfId="0" applyNumberFormat="1" applyFont="1" applyFill="1" applyBorder="1" applyAlignment="1" applyProtection="1">
      <alignment horizontal="center"/>
    </xf>
    <xf numFmtId="0" fontId="2" fillId="2" borderId="7" xfId="0" applyFont="1" applyFill="1" applyBorder="1" applyProtection="1"/>
    <xf numFmtId="165" fontId="13" fillId="2" borderId="0" xfId="0" applyNumberFormat="1" applyFont="1" applyFill="1" applyProtection="1"/>
    <xf numFmtId="178" fontId="13" fillId="2" borderId="0" xfId="0" applyNumberFormat="1" applyFont="1" applyFill="1" applyProtection="1"/>
    <xf numFmtId="0" fontId="2" fillId="2" borderId="7" xfId="0" applyFont="1" applyFill="1" applyBorder="1" applyAlignment="1" applyProtection="1">
      <alignment horizontal="center"/>
    </xf>
    <xf numFmtId="0" fontId="2" fillId="2" borderId="27" xfId="0" applyFont="1" applyFill="1" applyBorder="1" applyProtection="1"/>
    <xf numFmtId="0" fontId="2" fillId="2" borderId="0" xfId="0" applyFont="1" applyFill="1" applyAlignment="1" applyProtection="1">
      <alignment horizontal="center"/>
    </xf>
    <xf numFmtId="164" fontId="13" fillId="2" borderId="8" xfId="0" applyNumberFormat="1" applyFont="1" applyFill="1" applyBorder="1" applyAlignment="1" applyProtection="1">
      <alignment horizontal="center"/>
    </xf>
    <xf numFmtId="0" fontId="2" fillId="2" borderId="27" xfId="0" applyFont="1" applyFill="1" applyBorder="1" applyAlignment="1" applyProtection="1">
      <alignment horizontal="left" indent="2"/>
    </xf>
    <xf numFmtId="7" fontId="13" fillId="2" borderId="25" xfId="0" applyNumberFormat="1" applyFont="1" applyFill="1" applyBorder="1" applyAlignment="1" applyProtection="1">
      <alignment horizontal="center"/>
    </xf>
    <xf numFmtId="7" fontId="13" fillId="2" borderId="3" xfId="0" applyNumberFormat="1" applyFont="1" applyFill="1" applyBorder="1" applyAlignment="1" applyProtection="1">
      <alignment horizontal="center"/>
    </xf>
    <xf numFmtId="0" fontId="2" fillId="2" borderId="27" xfId="0" applyFont="1" applyFill="1" applyBorder="1" applyAlignment="1" applyProtection="1">
      <alignment horizontal="center"/>
    </xf>
    <xf numFmtId="165" fontId="13" fillId="2" borderId="25" xfId="0" applyNumberFormat="1" applyFont="1" applyFill="1" applyBorder="1" applyAlignment="1" applyProtection="1">
      <alignment horizontal="center"/>
    </xf>
    <xf numFmtId="165" fontId="13" fillId="2" borderId="3" xfId="0" applyNumberFormat="1" applyFont="1" applyFill="1" applyBorder="1" applyAlignment="1" applyProtection="1">
      <alignment horizontal="center"/>
    </xf>
    <xf numFmtId="165" fontId="13" fillId="2" borderId="8" xfId="0" applyNumberFormat="1" applyFont="1" applyFill="1" applyBorder="1" applyAlignment="1" applyProtection="1">
      <alignment horizontal="center"/>
    </xf>
    <xf numFmtId="0" fontId="2" fillId="2" borderId="26" xfId="0" applyFont="1" applyFill="1" applyBorder="1" applyProtection="1"/>
    <xf numFmtId="7" fontId="13" fillId="2" borderId="27" xfId="0" applyNumberFormat="1" applyFont="1" applyFill="1" applyBorder="1" applyAlignment="1" applyProtection="1">
      <alignment horizontal="center"/>
    </xf>
    <xf numFmtId="7" fontId="13" fillId="2" borderId="8" xfId="0" applyNumberFormat="1" applyFont="1" applyFill="1" applyBorder="1" applyAlignment="1" applyProtection="1">
      <alignment horizontal="center"/>
    </xf>
    <xf numFmtId="165" fontId="13" fillId="2" borderId="27" xfId="0" applyNumberFormat="1" applyFont="1" applyFill="1" applyBorder="1" applyAlignment="1" applyProtection="1">
      <alignment horizontal="center"/>
    </xf>
    <xf numFmtId="0" fontId="2" fillId="2" borderId="26" xfId="0" applyFont="1" applyFill="1" applyBorder="1" applyAlignment="1" applyProtection="1">
      <alignment horizontal="left" indent="2"/>
    </xf>
    <xf numFmtId="7" fontId="13" fillId="2" borderId="26" xfId="0" applyNumberFormat="1" applyFont="1" applyFill="1" applyBorder="1" applyAlignment="1" applyProtection="1">
      <alignment horizontal="center"/>
    </xf>
    <xf numFmtId="7" fontId="13" fillId="2" borderId="10" xfId="0" applyNumberFormat="1" applyFont="1" applyFill="1" applyBorder="1" applyAlignment="1" applyProtection="1">
      <alignment horizontal="center"/>
    </xf>
    <xf numFmtId="0" fontId="2" fillId="2" borderId="26" xfId="0" applyFont="1" applyFill="1" applyBorder="1" applyAlignment="1" applyProtection="1">
      <alignment horizontal="center"/>
    </xf>
    <xf numFmtId="165" fontId="13" fillId="2" borderId="26" xfId="0" applyNumberFormat="1" applyFont="1" applyFill="1" applyBorder="1" applyAlignment="1" applyProtection="1">
      <alignment horizontal="center"/>
    </xf>
    <xf numFmtId="165" fontId="13" fillId="2" borderId="10" xfId="0" applyNumberFormat="1" applyFont="1" applyFill="1" applyBorder="1" applyAlignment="1" applyProtection="1">
      <alignment horizontal="center"/>
    </xf>
    <xf numFmtId="0" fontId="2" fillId="2" borderId="9" xfId="0" applyFont="1" applyFill="1" applyBorder="1" applyAlignment="1" applyProtection="1">
      <alignment horizontal="center"/>
    </xf>
    <xf numFmtId="0" fontId="2" fillId="2" borderId="9" xfId="0" applyFont="1" applyFill="1" applyBorder="1" applyProtection="1"/>
    <xf numFmtId="165" fontId="13" fillId="2" borderId="11" xfId="0" applyNumberFormat="1" applyFont="1" applyFill="1" applyBorder="1" applyProtection="1"/>
    <xf numFmtId="178" fontId="13" fillId="2" borderId="11" xfId="0" applyNumberFormat="1" applyFont="1" applyFill="1" applyBorder="1" applyProtection="1"/>
    <xf numFmtId="0" fontId="2" fillId="2" borderId="11" xfId="0" applyFont="1" applyFill="1" applyBorder="1" applyAlignment="1" applyProtection="1">
      <alignment horizontal="center"/>
    </xf>
    <xf numFmtId="164" fontId="13" fillId="2" borderId="10" xfId="0" applyNumberFormat="1" applyFont="1" applyFill="1" applyBorder="1" applyAlignment="1" applyProtection="1">
      <alignment horizontal="center"/>
    </xf>
    <xf numFmtId="165" fontId="2" fillId="2" borderId="0" xfId="0" applyNumberFormat="1" applyFont="1" applyFill="1" applyProtection="1"/>
    <xf numFmtId="0" fontId="2" fillId="2" borderId="10" xfId="0" applyFont="1" applyFill="1" applyBorder="1" applyAlignment="1" applyProtection="1">
      <alignment horizontal="center"/>
    </xf>
    <xf numFmtId="164" fontId="15" fillId="2" borderId="3" xfId="0" applyNumberFormat="1" applyFont="1" applyFill="1" applyBorder="1" applyAlignment="1" applyProtection="1">
      <alignment horizontal="center"/>
    </xf>
    <xf numFmtId="164" fontId="2" fillId="2" borderId="0" xfId="3" applyNumberFormat="1" applyFont="1" applyFill="1" applyProtection="1"/>
    <xf numFmtId="164" fontId="2" fillId="2" borderId="0" xfId="0" applyNumberFormat="1" applyFont="1" applyFill="1" applyAlignment="1" applyProtection="1">
      <alignment horizontal="center"/>
    </xf>
    <xf numFmtId="164" fontId="15" fillId="2" borderId="8" xfId="0" applyNumberFormat="1" applyFont="1" applyFill="1" applyBorder="1" applyAlignment="1" applyProtection="1">
      <alignment horizontal="center"/>
    </xf>
    <xf numFmtId="164" fontId="15" fillId="2" borderId="10" xfId="0" applyNumberFormat="1" applyFont="1" applyFill="1" applyBorder="1" applyAlignment="1" applyProtection="1">
      <alignment horizontal="center"/>
    </xf>
    <xf numFmtId="164" fontId="2" fillId="2" borderId="0" xfId="0" applyNumberFormat="1" applyFont="1" applyFill="1" applyProtection="1"/>
    <xf numFmtId="0" fontId="12" fillId="2" borderId="0" xfId="0" applyFont="1" applyFill="1" applyProtection="1"/>
    <xf numFmtId="0" fontId="14" fillId="2" borderId="0" xfId="0" applyFont="1" applyFill="1" applyProtection="1"/>
    <xf numFmtId="0" fontId="12" fillId="2" borderId="5" xfId="0" applyFont="1" applyFill="1" applyBorder="1" applyProtection="1"/>
    <xf numFmtId="0" fontId="12" fillId="2" borderId="6" xfId="0" applyFont="1" applyFill="1" applyBorder="1" applyProtection="1"/>
    <xf numFmtId="9" fontId="13" fillId="2" borderId="0" xfId="3" applyFont="1" applyFill="1" applyBorder="1" applyProtection="1"/>
    <xf numFmtId="9" fontId="15" fillId="2" borderId="0" xfId="0" applyNumberFormat="1" applyFont="1" applyFill="1" applyProtection="1"/>
    <xf numFmtId="9" fontId="15" fillId="2" borderId="0" xfId="3" applyFont="1" applyFill="1" applyBorder="1" applyProtection="1"/>
    <xf numFmtId="9" fontId="15" fillId="2" borderId="8" xfId="3" applyFont="1" applyFill="1" applyBorder="1" applyProtection="1"/>
    <xf numFmtId="9" fontId="13" fillId="2" borderId="8" xfId="3" applyFont="1" applyFill="1" applyBorder="1" applyProtection="1"/>
    <xf numFmtId="0" fontId="2" fillId="2" borderId="25" xfId="0" applyFont="1" applyFill="1" applyBorder="1" applyAlignment="1" applyProtection="1">
      <alignment horizontal="center"/>
    </xf>
    <xf numFmtId="0" fontId="11" fillId="10" borderId="27" xfId="0" applyFont="1" applyFill="1" applyBorder="1" applyProtection="1"/>
    <xf numFmtId="0" fontId="11" fillId="10" borderId="26" xfId="0" applyFont="1" applyFill="1" applyBorder="1" applyProtection="1"/>
    <xf numFmtId="9" fontId="13" fillId="2" borderId="11" xfId="3" applyFont="1" applyFill="1" applyBorder="1" applyProtection="1"/>
    <xf numFmtId="9" fontId="13" fillId="2" borderId="10" xfId="3" applyFont="1" applyFill="1" applyBorder="1" applyProtection="1"/>
    <xf numFmtId="4" fontId="12" fillId="2" borderId="0" xfId="0" applyNumberFormat="1" applyFont="1" applyFill="1" applyProtection="1"/>
    <xf numFmtId="0" fontId="12" fillId="2" borderId="0" xfId="0" applyFont="1" applyFill="1" applyAlignment="1" applyProtection="1">
      <alignment horizontal="center"/>
    </xf>
    <xf numFmtId="4" fontId="13" fillId="2" borderId="0" xfId="0" applyNumberFormat="1" applyFont="1" applyFill="1" applyAlignment="1" applyProtection="1">
      <alignment horizontal="center"/>
    </xf>
    <xf numFmtId="2" fontId="13" fillId="2" borderId="0" xfId="0" applyNumberFormat="1" applyFont="1" applyFill="1" applyAlignment="1" applyProtection="1">
      <alignment horizontal="center"/>
    </xf>
    <xf numFmtId="4" fontId="12" fillId="2" borderId="0" xfId="0" applyNumberFormat="1" applyFont="1" applyFill="1" applyAlignment="1" applyProtection="1">
      <alignment horizontal="center"/>
    </xf>
    <xf numFmtId="181" fontId="13" fillId="2" borderId="0" xfId="0" applyNumberFormat="1" applyFont="1" applyFill="1" applyAlignment="1" applyProtection="1">
      <alignment horizontal="center"/>
    </xf>
    <xf numFmtId="181" fontId="12" fillId="2" borderId="0" xfId="0" applyNumberFormat="1" applyFont="1" applyFill="1" applyProtection="1"/>
    <xf numFmtId="165" fontId="13" fillId="2" borderId="0" xfId="0" applyNumberFormat="1" applyFont="1" applyFill="1" applyAlignment="1" applyProtection="1">
      <alignment horizontal="center"/>
    </xf>
    <xf numFmtId="0" fontId="2" fillId="3" borderId="10" xfId="0" applyFont="1" applyFill="1" applyBorder="1" applyAlignment="1" applyProtection="1">
      <alignment horizontal="left"/>
    </xf>
    <xf numFmtId="0" fontId="2" fillId="0" borderId="8" xfId="0" applyFont="1" applyFill="1" applyBorder="1" applyProtection="1"/>
    <xf numFmtId="0" fontId="20" fillId="2" borderId="0" xfId="0" applyFont="1" applyFill="1" applyAlignment="1" applyProtection="1">
      <alignment horizontal="center" vertical="center"/>
    </xf>
    <xf numFmtId="0" fontId="18" fillId="2" borderId="7"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9" fontId="21" fillId="2" borderId="0" xfId="0" applyNumberFormat="1" applyFont="1" applyFill="1" applyAlignment="1" applyProtection="1">
      <alignment horizontal="center" vertical="center"/>
    </xf>
    <xf numFmtId="0" fontId="18" fillId="2" borderId="0" xfId="0" applyFont="1" applyFill="1" applyAlignment="1" applyProtection="1">
      <alignment horizontal="center"/>
    </xf>
    <xf numFmtId="169" fontId="18" fillId="2" borderId="0" xfId="0" applyNumberFormat="1" applyFont="1" applyFill="1" applyAlignment="1" applyProtection="1">
      <alignment horizontal="center"/>
      <protection locked="0"/>
    </xf>
    <xf numFmtId="0" fontId="2" fillId="2" borderId="0" xfId="0" applyFont="1" applyFill="1" applyAlignment="1" applyProtection="1">
      <alignment horizontal="left"/>
    </xf>
    <xf numFmtId="179" fontId="2" fillId="2" borderId="25" xfId="0" quotePrefix="1" applyNumberFormat="1" applyFont="1" applyFill="1" applyBorder="1" applyAlignment="1" applyProtection="1">
      <alignment horizontal="center"/>
    </xf>
    <xf numFmtId="179" fontId="2" fillId="2" borderId="25" xfId="0" applyNumberFormat="1" applyFont="1" applyFill="1" applyBorder="1" applyAlignment="1" applyProtection="1">
      <alignment horizontal="center"/>
    </xf>
    <xf numFmtId="0" fontId="2" fillId="2" borderId="25" xfId="0" applyFont="1" applyFill="1" applyBorder="1" applyAlignment="1" applyProtection="1">
      <alignment horizontal="center" wrapText="1"/>
    </xf>
    <xf numFmtId="0" fontId="2" fillId="2" borderId="1"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cellXfs>
  <cellStyles count="12">
    <cellStyle name="Calculation with Different Formula" xfId="8" xr:uid="{953BDA39-23A6-E849-BFE4-8934506A6C39}"/>
    <cellStyle name="Comma" xfId="1" builtinId="3"/>
    <cellStyle name="Currency" xfId="2" builtinId="4"/>
    <cellStyle name="Dropdown Input" xfId="7" xr:uid="{9C3D9398-696E-B346-B7DE-5E3B7A5209DE}"/>
    <cellStyle name="Normal" xfId="0" builtinId="0"/>
    <cellStyle name="Normal 2" xfId="4" xr:uid="{45599247-A25C-4F55-AD92-59C64443AAA0}"/>
    <cellStyle name="Percent" xfId="3" builtinId="5"/>
    <cellStyle name="Table Header" xfId="5" xr:uid="{763F4160-A5CB-1942-AB17-D0DE9D252A28}"/>
    <cellStyle name="Table Index" xfId="10" xr:uid="{E505009C-9CF3-3C4B-A95B-9B0C29FE0E78}"/>
    <cellStyle name="Table Index 2" xfId="11" xr:uid="{15BA4827-196A-074C-B7BE-DC5B9C590D22}"/>
    <cellStyle name="Table Sub-Header" xfId="9" xr:uid="{DAD7A07C-8662-3C45-96E2-562D9AE21C7C}"/>
    <cellStyle name="Table Value" xfId="6" xr:uid="{39C1EFAB-CB2E-DD48-9BB9-43860866BC1E}"/>
  </cellStyles>
  <dxfs count="12">
    <dxf>
      <fill>
        <patternFill patternType="darkGray"/>
      </fill>
    </dxf>
    <dxf>
      <fill>
        <patternFill patternType="darkGray"/>
      </fill>
    </dxf>
    <dxf>
      <fill>
        <patternFill patternType="darkGray"/>
      </fill>
    </dxf>
    <dxf>
      <font>
        <b/>
        <i val="0"/>
        <color rgb="FFFF0000"/>
      </font>
    </dxf>
    <dxf>
      <font>
        <b/>
        <i val="0"/>
        <color rgb="FFFF0000"/>
      </font>
    </dxf>
    <dxf>
      <font>
        <b/>
        <i val="0"/>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patternType="darkGray">
          <fgColor auto="1"/>
        </patternFill>
      </fill>
    </dxf>
    <dxf>
      <fill>
        <patternFill patternType="darkGray">
          <fgColor auto="1"/>
        </patternFill>
      </fill>
    </dxf>
    <dxf>
      <fill>
        <patternFill patternType="darkGray">
          <fgColor auto="1"/>
        </patternFill>
      </fill>
    </dxf>
  </dxfs>
  <tableStyles count="0" defaultTableStyle="TableStyleMedium2" defaultPivotStyle="PivotStyleLight16"/>
  <colors>
    <mruColors>
      <color rgb="FFACAEA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'Wind Capacity Factor'!$B$3</c:f>
              <c:strCache>
                <c:ptCount val="1"/>
                <c:pt idx="0">
                  <c:v>Class 1</c:v>
                </c:pt>
              </c:strCache>
            </c:strRef>
          </c:tx>
          <c:spPr>
            <a:ln w="28575" cap="rnd">
              <a:solidFill>
                <a:schemeClr val="accent1"/>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Factor'!$B$4:$B$39</c:f>
              <c:numCache>
                <c:formatCode>0%</c:formatCode>
                <c:ptCount val="36"/>
                <c:pt idx="0">
                  <c:v>0.48997880883527117</c:v>
                </c:pt>
                <c:pt idx="1">
                  <c:v>0.5115685106238268</c:v>
                </c:pt>
                <c:pt idx="2">
                  <c:v>0.473521711974146</c:v>
                </c:pt>
                <c:pt idx="3">
                  <c:v>0.47660855404916502</c:v>
                </c:pt>
                <c:pt idx="4">
                  <c:v>0.47595300000000001</c:v>
                </c:pt>
                <c:pt idx="5">
                  <c:v>0.52</c:v>
                </c:pt>
                <c:pt idx="6">
                  <c:v>0.51</c:v>
                </c:pt>
                <c:pt idx="7">
                  <c:v>0.49</c:v>
                </c:pt>
                <c:pt idx="8">
                  <c:v>0.51</c:v>
                </c:pt>
                <c:pt idx="9">
                  <c:v>0.50963000000000003</c:v>
                </c:pt>
                <c:pt idx="10">
                  <c:v>0.51345666666666601</c:v>
                </c:pt>
                <c:pt idx="11">
                  <c:v>0.51728333333333298</c:v>
                </c:pt>
                <c:pt idx="12">
                  <c:v>0.52110999999999996</c:v>
                </c:pt>
                <c:pt idx="13">
                  <c:v>0.52493666666666605</c:v>
                </c:pt>
                <c:pt idx="14">
                  <c:v>0.52876333333333303</c:v>
                </c:pt>
                <c:pt idx="15">
                  <c:v>0.53259000000000001</c:v>
                </c:pt>
                <c:pt idx="16">
                  <c:v>0.53302050000000001</c:v>
                </c:pt>
                <c:pt idx="17">
                  <c:v>0.53345100000000001</c:v>
                </c:pt>
                <c:pt idx="18">
                  <c:v>0.53388150000000001</c:v>
                </c:pt>
                <c:pt idx="19">
                  <c:v>0.53431200000000001</c:v>
                </c:pt>
                <c:pt idx="20">
                  <c:v>0.53474250000000001</c:v>
                </c:pt>
                <c:pt idx="21">
                  <c:v>0.53517300000000001</c:v>
                </c:pt>
                <c:pt idx="22">
                  <c:v>0.53560350000000001</c:v>
                </c:pt>
                <c:pt idx="23">
                  <c:v>0.53603399999999901</c:v>
                </c:pt>
                <c:pt idx="24">
                  <c:v>0.53646450000000001</c:v>
                </c:pt>
                <c:pt idx="25">
                  <c:v>0.53689500000000001</c:v>
                </c:pt>
                <c:pt idx="26">
                  <c:v>0.53732550000000001</c:v>
                </c:pt>
                <c:pt idx="27">
                  <c:v>0.53775600000000001</c:v>
                </c:pt>
                <c:pt idx="28">
                  <c:v>0.53818650000000001</c:v>
                </c:pt>
                <c:pt idx="29">
                  <c:v>0.53861700000000001</c:v>
                </c:pt>
                <c:pt idx="30">
                  <c:v>0.53904750000000001</c:v>
                </c:pt>
                <c:pt idx="31">
                  <c:v>0.53947800000000001</c:v>
                </c:pt>
                <c:pt idx="32">
                  <c:v>0.53990850000000001</c:v>
                </c:pt>
                <c:pt idx="33">
                  <c:v>0.54033900000000001</c:v>
                </c:pt>
                <c:pt idx="34">
                  <c:v>0.54076950000000001</c:v>
                </c:pt>
                <c:pt idx="35">
                  <c:v>0.54120000000000001</c:v>
                </c:pt>
              </c:numCache>
            </c:numRef>
          </c:yVal>
          <c:smooth val="0"/>
          <c:extLst>
            <c:ext xmlns:c16="http://schemas.microsoft.com/office/drawing/2014/chart" uri="{C3380CC4-5D6E-409C-BE32-E72D297353CC}">
              <c16:uniqueId val="{00000000-9E13-49AE-AAE9-A9CF9D77A424}"/>
            </c:ext>
          </c:extLst>
        </c:ser>
        <c:ser>
          <c:idx val="1"/>
          <c:order val="1"/>
          <c:tx>
            <c:strRef>
              <c:f>'Wind Capacity Factor'!$C$3</c:f>
              <c:strCache>
                <c:ptCount val="1"/>
                <c:pt idx="0">
                  <c:v>Class 2</c:v>
                </c:pt>
              </c:strCache>
            </c:strRef>
          </c:tx>
          <c:spPr>
            <a:ln w="28575" cap="rnd">
              <a:solidFill>
                <a:schemeClr val="accent2"/>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Factor'!$C$4:$C$39</c:f>
              <c:numCache>
                <c:formatCode>0%</c:formatCode>
                <c:ptCount val="36"/>
                <c:pt idx="0">
                  <c:v>0.49139785000000002</c:v>
                </c:pt>
                <c:pt idx="1">
                  <c:v>0.49139785000000002</c:v>
                </c:pt>
                <c:pt idx="2">
                  <c:v>0.46196422724106501</c:v>
                </c:pt>
                <c:pt idx="3">
                  <c:v>0.46510666372613801</c:v>
                </c:pt>
                <c:pt idx="4">
                  <c:v>0.453351</c:v>
                </c:pt>
                <c:pt idx="5">
                  <c:v>0.47</c:v>
                </c:pt>
                <c:pt idx="6">
                  <c:v>0.46</c:v>
                </c:pt>
                <c:pt idx="7">
                  <c:v>0.47</c:v>
                </c:pt>
                <c:pt idx="8">
                  <c:v>0.47</c:v>
                </c:pt>
                <c:pt idx="9">
                  <c:v>0.47814066666666599</c:v>
                </c:pt>
                <c:pt idx="10">
                  <c:v>0.48173088888888799</c:v>
                </c:pt>
                <c:pt idx="11">
                  <c:v>0.48532111111111098</c:v>
                </c:pt>
                <c:pt idx="12">
                  <c:v>0.48891133333333298</c:v>
                </c:pt>
                <c:pt idx="13">
                  <c:v>0.49250155555555503</c:v>
                </c:pt>
                <c:pt idx="14">
                  <c:v>0.49609177777777702</c:v>
                </c:pt>
                <c:pt idx="15">
                  <c:v>0.49968199999999902</c:v>
                </c:pt>
                <c:pt idx="16">
                  <c:v>0.50008589999999997</c:v>
                </c:pt>
                <c:pt idx="17">
                  <c:v>0.50048979999999998</c:v>
                </c:pt>
                <c:pt idx="18">
                  <c:v>0.5008937</c:v>
                </c:pt>
                <c:pt idx="19">
                  <c:v>0.50129760000000001</c:v>
                </c:pt>
                <c:pt idx="20">
                  <c:v>0.50170149999999902</c:v>
                </c:pt>
                <c:pt idx="21">
                  <c:v>0.50210539999999904</c:v>
                </c:pt>
                <c:pt idx="22">
                  <c:v>0.50250929999999905</c:v>
                </c:pt>
                <c:pt idx="23">
                  <c:v>0.50291319999999995</c:v>
                </c:pt>
                <c:pt idx="24">
                  <c:v>0.50331709999999996</c:v>
                </c:pt>
                <c:pt idx="25">
                  <c:v>0.50372099999999997</c:v>
                </c:pt>
                <c:pt idx="26">
                  <c:v>0.50412489999999999</c:v>
                </c:pt>
                <c:pt idx="27">
                  <c:v>0.5045288</c:v>
                </c:pt>
                <c:pt idx="28">
                  <c:v>0.50493270000000001</c:v>
                </c:pt>
                <c:pt idx="29">
                  <c:v>0.50533660000000002</c:v>
                </c:pt>
                <c:pt idx="30">
                  <c:v>0.50574050000000004</c:v>
                </c:pt>
                <c:pt idx="31">
                  <c:v>0.50614440000000005</c:v>
                </c:pt>
                <c:pt idx="32">
                  <c:v>0.50654829999999995</c:v>
                </c:pt>
                <c:pt idx="33">
                  <c:v>0.50695219999999996</c:v>
                </c:pt>
                <c:pt idx="34">
                  <c:v>0.50735609999999998</c:v>
                </c:pt>
                <c:pt idx="35">
                  <c:v>0.50775999999999999</c:v>
                </c:pt>
              </c:numCache>
            </c:numRef>
          </c:yVal>
          <c:smooth val="0"/>
          <c:extLst>
            <c:ext xmlns:c16="http://schemas.microsoft.com/office/drawing/2014/chart" uri="{C3380CC4-5D6E-409C-BE32-E72D297353CC}">
              <c16:uniqueId val="{00000001-9E13-49AE-AAE9-A9CF9D77A424}"/>
            </c:ext>
          </c:extLst>
        </c:ser>
        <c:ser>
          <c:idx val="2"/>
          <c:order val="2"/>
          <c:tx>
            <c:strRef>
              <c:f>'Wind Capacity Factor'!$D$3</c:f>
              <c:strCache>
                <c:ptCount val="1"/>
                <c:pt idx="0">
                  <c:v>Class 3</c:v>
                </c:pt>
              </c:strCache>
            </c:strRef>
          </c:tx>
          <c:spPr>
            <a:ln w="28575" cap="rnd">
              <a:solidFill>
                <a:schemeClr val="accent3"/>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Factor'!$D$4:$D$39</c:f>
              <c:numCache>
                <c:formatCode>0%</c:formatCode>
                <c:ptCount val="36"/>
                <c:pt idx="0">
                  <c:v>0.46287689735087051</c:v>
                </c:pt>
                <c:pt idx="1">
                  <c:v>0.47955420000000004</c:v>
                </c:pt>
                <c:pt idx="2">
                  <c:v>0.44969393646266098</c:v>
                </c:pt>
                <c:pt idx="3">
                  <c:v>0.45327436091803402</c:v>
                </c:pt>
                <c:pt idx="4">
                  <c:v>0.441328</c:v>
                </c:pt>
                <c:pt idx="5">
                  <c:v>0.45</c:v>
                </c:pt>
                <c:pt idx="6">
                  <c:v>0.45</c:v>
                </c:pt>
                <c:pt idx="7">
                  <c:v>0.45</c:v>
                </c:pt>
                <c:pt idx="8">
                  <c:v>0.46</c:v>
                </c:pt>
                <c:pt idx="9">
                  <c:v>0.46736799999999901</c:v>
                </c:pt>
                <c:pt idx="10">
                  <c:v>0.47087733333333298</c:v>
                </c:pt>
                <c:pt idx="11">
                  <c:v>0.47438666666666601</c:v>
                </c:pt>
                <c:pt idx="12">
                  <c:v>0.47789599999999899</c:v>
                </c:pt>
                <c:pt idx="13">
                  <c:v>0.48140533333333302</c:v>
                </c:pt>
                <c:pt idx="14">
                  <c:v>0.48491466666666599</c:v>
                </c:pt>
                <c:pt idx="15">
                  <c:v>0.48842399999999903</c:v>
                </c:pt>
                <c:pt idx="16">
                  <c:v>0.488818799999999</c:v>
                </c:pt>
                <c:pt idx="17">
                  <c:v>0.48921359999999903</c:v>
                </c:pt>
                <c:pt idx="18">
                  <c:v>0.489608399999999</c:v>
                </c:pt>
                <c:pt idx="19">
                  <c:v>0.49000319999999897</c:v>
                </c:pt>
                <c:pt idx="20">
                  <c:v>0.490397999999999</c:v>
                </c:pt>
                <c:pt idx="21">
                  <c:v>0.49079279999999897</c:v>
                </c:pt>
                <c:pt idx="22">
                  <c:v>0.491187599999999</c:v>
                </c:pt>
                <c:pt idx="23">
                  <c:v>0.49158239999999898</c:v>
                </c:pt>
                <c:pt idx="24">
                  <c:v>0.491977199999999</c:v>
                </c:pt>
                <c:pt idx="25">
                  <c:v>0.49237199999999998</c:v>
                </c:pt>
                <c:pt idx="26">
                  <c:v>0.49276679999999901</c:v>
                </c:pt>
                <c:pt idx="27">
                  <c:v>0.49316159999999998</c:v>
                </c:pt>
                <c:pt idx="28">
                  <c:v>0.49355639999999901</c:v>
                </c:pt>
                <c:pt idx="29">
                  <c:v>0.49395119999999998</c:v>
                </c:pt>
                <c:pt idx="30">
                  <c:v>0.49434600000000001</c:v>
                </c:pt>
                <c:pt idx="31">
                  <c:v>0.49474079999999898</c:v>
                </c:pt>
                <c:pt idx="32">
                  <c:v>0.49513559999999901</c:v>
                </c:pt>
                <c:pt idx="33">
                  <c:v>0.49553039999999998</c:v>
                </c:pt>
                <c:pt idx="34">
                  <c:v>0.49592519999999901</c:v>
                </c:pt>
                <c:pt idx="35">
                  <c:v>0.49631999999999898</c:v>
                </c:pt>
              </c:numCache>
            </c:numRef>
          </c:yVal>
          <c:smooth val="0"/>
          <c:extLst>
            <c:ext xmlns:c16="http://schemas.microsoft.com/office/drawing/2014/chart" uri="{C3380CC4-5D6E-409C-BE32-E72D297353CC}">
              <c16:uniqueId val="{00000002-9E13-49AE-AAE9-A9CF9D77A424}"/>
            </c:ext>
          </c:extLst>
        </c:ser>
        <c:ser>
          <c:idx val="3"/>
          <c:order val="3"/>
          <c:tx>
            <c:strRef>
              <c:f>'Wind Capacity Factor'!$E$3</c:f>
              <c:strCache>
                <c:ptCount val="1"/>
                <c:pt idx="0">
                  <c:v>Class 4</c:v>
                </c:pt>
              </c:strCache>
            </c:strRef>
          </c:tx>
          <c:spPr>
            <a:ln w="28575" cap="rnd">
              <a:solidFill>
                <a:schemeClr val="accent4"/>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Factor'!$E$4:$E$39</c:f>
              <c:numCache>
                <c:formatCode>0%</c:formatCode>
                <c:ptCount val="36"/>
                <c:pt idx="0">
                  <c:v>0.46660554999999998</c:v>
                </c:pt>
                <c:pt idx="1">
                  <c:v>0.46660554999999998</c:v>
                </c:pt>
                <c:pt idx="2">
                  <c:v>0.43522297025680401</c:v>
                </c:pt>
                <c:pt idx="3">
                  <c:v>0.43896298582938398</c:v>
                </c:pt>
                <c:pt idx="4">
                  <c:v>0.42659200000000003</c:v>
                </c:pt>
                <c:pt idx="5">
                  <c:v>0.44</c:v>
                </c:pt>
                <c:pt idx="6">
                  <c:v>0.43</c:v>
                </c:pt>
                <c:pt idx="7">
                  <c:v>0.44</c:v>
                </c:pt>
                <c:pt idx="8">
                  <c:v>0.45</c:v>
                </c:pt>
                <c:pt idx="9">
                  <c:v>0.45493800000000001</c:v>
                </c:pt>
                <c:pt idx="10">
                  <c:v>0.45835399999999998</c:v>
                </c:pt>
                <c:pt idx="11">
                  <c:v>0.46177000000000001</c:v>
                </c:pt>
                <c:pt idx="12">
                  <c:v>0.46518599999999999</c:v>
                </c:pt>
                <c:pt idx="13">
                  <c:v>0.46860200000000002</c:v>
                </c:pt>
                <c:pt idx="14">
                  <c:v>0.47201799999999999</c:v>
                </c:pt>
                <c:pt idx="15">
                  <c:v>0.47543400000000002</c:v>
                </c:pt>
                <c:pt idx="16">
                  <c:v>0.47581830000000003</c:v>
                </c:pt>
                <c:pt idx="17">
                  <c:v>0.47620259999999998</c:v>
                </c:pt>
                <c:pt idx="18">
                  <c:v>0.47658689999999998</c:v>
                </c:pt>
                <c:pt idx="19">
                  <c:v>0.47697119999999998</c:v>
                </c:pt>
                <c:pt idx="20">
                  <c:v>0.47735549999999999</c:v>
                </c:pt>
                <c:pt idx="21">
                  <c:v>0.47773979999999999</c:v>
                </c:pt>
                <c:pt idx="22">
                  <c:v>0.4781241</c:v>
                </c:pt>
                <c:pt idx="23">
                  <c:v>0.4785084</c:v>
                </c:pt>
                <c:pt idx="24">
                  <c:v>0.4788927</c:v>
                </c:pt>
                <c:pt idx="25">
                  <c:v>0.47927700000000001</c:v>
                </c:pt>
                <c:pt idx="26">
                  <c:v>0.47966130000000001</c:v>
                </c:pt>
                <c:pt idx="27">
                  <c:v>0.48004560000000002</c:v>
                </c:pt>
                <c:pt idx="28">
                  <c:v>0.48042990000000002</c:v>
                </c:pt>
                <c:pt idx="29">
                  <c:v>0.48081420000000002</c:v>
                </c:pt>
                <c:pt idx="30">
                  <c:v>0.48119849999999997</c:v>
                </c:pt>
                <c:pt idx="31">
                  <c:v>0.48158279999999998</c:v>
                </c:pt>
                <c:pt idx="32">
                  <c:v>0.48196709999999998</c:v>
                </c:pt>
                <c:pt idx="33">
                  <c:v>0.48235139999999999</c:v>
                </c:pt>
                <c:pt idx="34">
                  <c:v>0.48273569999999999</c:v>
                </c:pt>
                <c:pt idx="35">
                  <c:v>0.48311999999999999</c:v>
                </c:pt>
              </c:numCache>
            </c:numRef>
          </c:yVal>
          <c:smooth val="0"/>
          <c:extLst>
            <c:ext xmlns:c16="http://schemas.microsoft.com/office/drawing/2014/chart" uri="{C3380CC4-5D6E-409C-BE32-E72D297353CC}">
              <c16:uniqueId val="{00000003-9E13-49AE-AAE9-A9CF9D77A424}"/>
            </c:ext>
          </c:extLst>
        </c:ser>
        <c:ser>
          <c:idx val="4"/>
          <c:order val="4"/>
          <c:tx>
            <c:strRef>
              <c:f>'Wind Capacity Factor'!$F$3</c:f>
              <c:strCache>
                <c:ptCount val="1"/>
                <c:pt idx="0">
                  <c:v>Class 5</c:v>
                </c:pt>
              </c:strCache>
            </c:strRef>
          </c:tx>
          <c:spPr>
            <a:ln w="28575" cap="rnd">
              <a:solidFill>
                <a:schemeClr val="accent5"/>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Factor'!$F$4:$F$39</c:f>
              <c:numCache>
                <c:formatCode>0%</c:formatCode>
                <c:ptCount val="36"/>
                <c:pt idx="0">
                  <c:v>0.43950175601547609</c:v>
                </c:pt>
                <c:pt idx="1">
                  <c:v>0.45028949999999995</c:v>
                </c:pt>
                <c:pt idx="2">
                  <c:v>0.40730649949589298</c:v>
                </c:pt>
                <c:pt idx="3">
                  <c:v>0.411686043406085</c:v>
                </c:pt>
                <c:pt idx="4">
                  <c:v>0.39777400000000002</c:v>
                </c:pt>
                <c:pt idx="5">
                  <c:v>0.42</c:v>
                </c:pt>
                <c:pt idx="6">
                  <c:v>0.42</c:v>
                </c:pt>
                <c:pt idx="7">
                  <c:v>0.43</c:v>
                </c:pt>
                <c:pt idx="8">
                  <c:v>0.44</c:v>
                </c:pt>
                <c:pt idx="9">
                  <c:v>0.44002200000000002</c:v>
                </c:pt>
                <c:pt idx="10">
                  <c:v>0.443326</c:v>
                </c:pt>
                <c:pt idx="11">
                  <c:v>0.44663000000000003</c:v>
                </c:pt>
                <c:pt idx="12">
                  <c:v>0.449934</c:v>
                </c:pt>
                <c:pt idx="13">
                  <c:v>0.45323799999999997</c:v>
                </c:pt>
                <c:pt idx="14">
                  <c:v>0.456542</c:v>
                </c:pt>
                <c:pt idx="15">
                  <c:v>0.45984599999999998</c:v>
                </c:pt>
                <c:pt idx="16">
                  <c:v>0.46021770000000001</c:v>
                </c:pt>
                <c:pt idx="17">
                  <c:v>0.46058939999999998</c:v>
                </c:pt>
                <c:pt idx="18">
                  <c:v>0.46096110000000001</c:v>
                </c:pt>
                <c:pt idx="19">
                  <c:v>0.46133279999999999</c:v>
                </c:pt>
                <c:pt idx="20">
                  <c:v>0.46170450000000002</c:v>
                </c:pt>
                <c:pt idx="21">
                  <c:v>0.46207619999999999</c:v>
                </c:pt>
                <c:pt idx="22">
                  <c:v>0.46244790000000002</c:v>
                </c:pt>
                <c:pt idx="23">
                  <c:v>0.4628196</c:v>
                </c:pt>
                <c:pt idx="24">
                  <c:v>0.46319129999999997</c:v>
                </c:pt>
                <c:pt idx="25">
                  <c:v>0.463563</c:v>
                </c:pt>
                <c:pt idx="26">
                  <c:v>0.46393469999999998</c:v>
                </c:pt>
                <c:pt idx="27">
                  <c:v>0.46430640000000001</c:v>
                </c:pt>
                <c:pt idx="28">
                  <c:v>0.46467809999999998</c:v>
                </c:pt>
                <c:pt idx="29">
                  <c:v>0.46504980000000001</c:v>
                </c:pt>
                <c:pt idx="30">
                  <c:v>0.46542149999999999</c:v>
                </c:pt>
                <c:pt idx="31">
                  <c:v>0.46579320000000002</c:v>
                </c:pt>
                <c:pt idx="32">
                  <c:v>0.46616489999999999</c:v>
                </c:pt>
                <c:pt idx="33">
                  <c:v>0.46653660000000002</c:v>
                </c:pt>
                <c:pt idx="34">
                  <c:v>0.4669083</c:v>
                </c:pt>
                <c:pt idx="35">
                  <c:v>0.46727999999999997</c:v>
                </c:pt>
              </c:numCache>
            </c:numRef>
          </c:yVal>
          <c:smooth val="0"/>
          <c:extLst>
            <c:ext xmlns:c16="http://schemas.microsoft.com/office/drawing/2014/chart" uri="{C3380CC4-5D6E-409C-BE32-E72D297353CC}">
              <c16:uniqueId val="{00000004-9E13-49AE-AAE9-A9CF9D77A424}"/>
            </c:ext>
          </c:extLst>
        </c:ser>
        <c:ser>
          <c:idx val="5"/>
          <c:order val="5"/>
          <c:tx>
            <c:strRef>
              <c:f>'Wind Capacity Factor'!$G$3</c:f>
              <c:strCache>
                <c:ptCount val="1"/>
                <c:pt idx="0">
                  <c:v>Class 6</c:v>
                </c:pt>
              </c:strCache>
            </c:strRef>
          </c:tx>
          <c:spPr>
            <a:ln w="28575" cap="rnd">
              <a:solidFill>
                <a:schemeClr val="accent6"/>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Factor'!$G$4:$G$39</c:f>
              <c:numCache>
                <c:formatCode>0%</c:formatCode>
                <c:ptCount val="36"/>
                <c:pt idx="0">
                  <c:v>0.3790649778445811</c:v>
                </c:pt>
                <c:pt idx="1">
                  <c:v>0.4030543730769231</c:v>
                </c:pt>
                <c:pt idx="2">
                  <c:v>0.36366571999053598</c:v>
                </c:pt>
                <c:pt idx="3">
                  <c:v>0.36888912141143099</c:v>
                </c:pt>
                <c:pt idx="4">
                  <c:v>0.35212300000000002</c:v>
                </c:pt>
                <c:pt idx="5">
                  <c:v>0.39</c:v>
                </c:pt>
                <c:pt idx="6">
                  <c:v>0.39</c:v>
                </c:pt>
                <c:pt idx="7">
                  <c:v>0.41</c:v>
                </c:pt>
                <c:pt idx="8">
                  <c:v>0.41</c:v>
                </c:pt>
                <c:pt idx="9">
                  <c:v>0.41681933333333299</c:v>
                </c:pt>
                <c:pt idx="10">
                  <c:v>0.419949111111111</c:v>
                </c:pt>
                <c:pt idx="11">
                  <c:v>0.42307888888888801</c:v>
                </c:pt>
                <c:pt idx="12">
                  <c:v>0.42620866666666601</c:v>
                </c:pt>
                <c:pt idx="13">
                  <c:v>0.42933844444444402</c:v>
                </c:pt>
                <c:pt idx="14">
                  <c:v>0.43246822222222198</c:v>
                </c:pt>
                <c:pt idx="15">
                  <c:v>0.43559799999999999</c:v>
                </c:pt>
                <c:pt idx="16">
                  <c:v>0.43595010000000001</c:v>
                </c:pt>
                <c:pt idx="17">
                  <c:v>0.43630219999999997</c:v>
                </c:pt>
                <c:pt idx="18">
                  <c:v>0.4366543</c:v>
                </c:pt>
                <c:pt idx="19">
                  <c:v>0.43700640000000002</c:v>
                </c:pt>
                <c:pt idx="20">
                  <c:v>0.43735849999999998</c:v>
                </c:pt>
                <c:pt idx="21">
                  <c:v>0.43771060000000001</c:v>
                </c:pt>
                <c:pt idx="22">
                  <c:v>0.43806270000000003</c:v>
                </c:pt>
                <c:pt idx="23">
                  <c:v>0.43841479999999999</c:v>
                </c:pt>
                <c:pt idx="24">
                  <c:v>0.43876689999999902</c:v>
                </c:pt>
                <c:pt idx="25">
                  <c:v>0.43911899999999998</c:v>
                </c:pt>
                <c:pt idx="26">
                  <c:v>0.4394711</c:v>
                </c:pt>
                <c:pt idx="27">
                  <c:v>0.43982320000000003</c:v>
                </c:pt>
                <c:pt idx="28">
                  <c:v>0.44017529999999999</c:v>
                </c:pt>
                <c:pt idx="29">
                  <c:v>0.44052740000000001</c:v>
                </c:pt>
                <c:pt idx="30">
                  <c:v>0.44087949999999998</c:v>
                </c:pt>
                <c:pt idx="31">
                  <c:v>0.4412316</c:v>
                </c:pt>
                <c:pt idx="32">
                  <c:v>0.44158370000000002</c:v>
                </c:pt>
                <c:pt idx="33">
                  <c:v>0.44193579999999999</c:v>
                </c:pt>
                <c:pt idx="34">
                  <c:v>0.44228790000000001</c:v>
                </c:pt>
                <c:pt idx="35">
                  <c:v>0.44263999999999998</c:v>
                </c:pt>
              </c:numCache>
            </c:numRef>
          </c:yVal>
          <c:smooth val="0"/>
          <c:extLst>
            <c:ext xmlns:c16="http://schemas.microsoft.com/office/drawing/2014/chart" uri="{C3380CC4-5D6E-409C-BE32-E72D297353CC}">
              <c16:uniqueId val="{00000005-9E13-49AE-AAE9-A9CF9D77A424}"/>
            </c:ext>
          </c:extLst>
        </c:ser>
        <c:ser>
          <c:idx val="6"/>
          <c:order val="6"/>
          <c:tx>
            <c:strRef>
              <c:f>'Wind Capacity Factor'!$H$3</c:f>
              <c:strCache>
                <c:ptCount val="1"/>
                <c:pt idx="0">
                  <c:v>Class 7</c:v>
                </c:pt>
              </c:strCache>
            </c:strRef>
          </c:tx>
          <c:spPr>
            <a:ln w="28575" cap="rnd">
              <a:solidFill>
                <a:schemeClr val="accent1">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Factor'!$H$4:$H$39</c:f>
              <c:numCache>
                <c:formatCode>0%</c:formatCode>
                <c:ptCount val="36"/>
                <c:pt idx="0">
                  <c:v>0.32023156424456123</c:v>
                </c:pt>
                <c:pt idx="1">
                  <c:v>0.3338992409090909</c:v>
                </c:pt>
                <c:pt idx="2">
                  <c:v>0.30817794465054799</c:v>
                </c:pt>
                <c:pt idx="3">
                  <c:v>0.31359723218580099</c:v>
                </c:pt>
                <c:pt idx="4">
                  <c:v>0.29170000000000001</c:v>
                </c:pt>
                <c:pt idx="5">
                  <c:v>0.35</c:v>
                </c:pt>
                <c:pt idx="6">
                  <c:v>0.36</c:v>
                </c:pt>
                <c:pt idx="7">
                  <c:v>0.37</c:v>
                </c:pt>
                <c:pt idx="8">
                  <c:v>0.38</c:v>
                </c:pt>
                <c:pt idx="9">
                  <c:v>0.38450133333333297</c:v>
                </c:pt>
                <c:pt idx="10">
                  <c:v>0.38738844444444398</c:v>
                </c:pt>
                <c:pt idx="11">
                  <c:v>0.39027555555555499</c:v>
                </c:pt>
                <c:pt idx="12">
                  <c:v>0.39316266666666599</c:v>
                </c:pt>
                <c:pt idx="13">
                  <c:v>0.396049777777777</c:v>
                </c:pt>
                <c:pt idx="14">
                  <c:v>0.39893688888888801</c:v>
                </c:pt>
                <c:pt idx="15">
                  <c:v>0.40182400000000001</c:v>
                </c:pt>
                <c:pt idx="16">
                  <c:v>0.40214879999999997</c:v>
                </c:pt>
                <c:pt idx="17">
                  <c:v>0.40247359999999999</c:v>
                </c:pt>
                <c:pt idx="18">
                  <c:v>0.4027984</c:v>
                </c:pt>
                <c:pt idx="19">
                  <c:v>0.40312320000000001</c:v>
                </c:pt>
                <c:pt idx="20">
                  <c:v>0.40344799999999997</c:v>
                </c:pt>
                <c:pt idx="21">
                  <c:v>0.40377279999999999</c:v>
                </c:pt>
                <c:pt idx="22">
                  <c:v>0.4040976</c:v>
                </c:pt>
                <c:pt idx="23">
                  <c:v>0.40442240000000002</c:v>
                </c:pt>
                <c:pt idx="24">
                  <c:v>0.40474719999999997</c:v>
                </c:pt>
                <c:pt idx="25">
                  <c:v>0.40507199999999999</c:v>
                </c:pt>
                <c:pt idx="26">
                  <c:v>0.4053968</c:v>
                </c:pt>
                <c:pt idx="27">
                  <c:v>0.40572160000000002</c:v>
                </c:pt>
                <c:pt idx="28">
                  <c:v>0.40604639999999997</c:v>
                </c:pt>
                <c:pt idx="29">
                  <c:v>0.40637119999999999</c:v>
                </c:pt>
                <c:pt idx="30">
                  <c:v>0.406696</c:v>
                </c:pt>
                <c:pt idx="31">
                  <c:v>0.40702080000000002</c:v>
                </c:pt>
                <c:pt idx="32">
                  <c:v>0.40734559999999997</c:v>
                </c:pt>
                <c:pt idx="33">
                  <c:v>0.40767039999999999</c:v>
                </c:pt>
                <c:pt idx="34">
                  <c:v>0.4079952</c:v>
                </c:pt>
                <c:pt idx="35">
                  <c:v>0.40832000000000002</c:v>
                </c:pt>
              </c:numCache>
            </c:numRef>
          </c:yVal>
          <c:smooth val="0"/>
          <c:extLst>
            <c:ext xmlns:c16="http://schemas.microsoft.com/office/drawing/2014/chart" uri="{C3380CC4-5D6E-409C-BE32-E72D297353CC}">
              <c16:uniqueId val="{00000006-9E13-49AE-AAE9-A9CF9D77A424}"/>
            </c:ext>
          </c:extLst>
        </c:ser>
        <c:ser>
          <c:idx val="7"/>
          <c:order val="7"/>
          <c:tx>
            <c:strRef>
              <c:f>'Wind Capacity Factor'!$I$3</c:f>
              <c:strCache>
                <c:ptCount val="1"/>
                <c:pt idx="0">
                  <c:v>Class 8</c:v>
                </c:pt>
              </c:strCache>
            </c:strRef>
          </c:tx>
          <c:spPr>
            <a:ln w="28575" cap="rnd">
              <a:solidFill>
                <a:schemeClr val="accent2">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Factor'!$I$4:$I$39</c:f>
              <c:numCache>
                <c:formatCode>0%</c:formatCode>
                <c:ptCount val="36"/>
                <c:pt idx="0">
                  <c:v>0.26080181666666669</c:v>
                </c:pt>
                <c:pt idx="1">
                  <c:v>0.26080181666666669</c:v>
                </c:pt>
                <c:pt idx="2">
                  <c:v>0.24565601942807799</c:v>
                </c:pt>
                <c:pt idx="3">
                  <c:v>0.25045142716823698</c:v>
                </c:pt>
                <c:pt idx="4">
                  <c:v>0.22797799999999999</c:v>
                </c:pt>
                <c:pt idx="5">
                  <c:v>0.31</c:v>
                </c:pt>
                <c:pt idx="6">
                  <c:v>0.31</c:v>
                </c:pt>
                <c:pt idx="7">
                  <c:v>0.33</c:v>
                </c:pt>
                <c:pt idx="8">
                  <c:v>0.34</c:v>
                </c:pt>
                <c:pt idx="9">
                  <c:v>0.34721133333333298</c:v>
                </c:pt>
                <c:pt idx="10">
                  <c:v>0.34981844444444399</c:v>
                </c:pt>
                <c:pt idx="11">
                  <c:v>0.35242555555555499</c:v>
                </c:pt>
                <c:pt idx="12">
                  <c:v>0.355032666666666</c:v>
                </c:pt>
                <c:pt idx="13">
                  <c:v>0.357639777777777</c:v>
                </c:pt>
                <c:pt idx="14">
                  <c:v>0.36024688888888801</c:v>
                </c:pt>
                <c:pt idx="15">
                  <c:v>0.36285400000000001</c:v>
                </c:pt>
                <c:pt idx="16">
                  <c:v>0.36314730000000001</c:v>
                </c:pt>
                <c:pt idx="17">
                  <c:v>0.363440599999999</c:v>
                </c:pt>
                <c:pt idx="18">
                  <c:v>0.3637339</c:v>
                </c:pt>
                <c:pt idx="19">
                  <c:v>0.3640272</c:v>
                </c:pt>
                <c:pt idx="20">
                  <c:v>0.36432049999999899</c:v>
                </c:pt>
                <c:pt idx="21">
                  <c:v>0.36461379999999999</c:v>
                </c:pt>
                <c:pt idx="22">
                  <c:v>0.36490709999999998</c:v>
                </c:pt>
                <c:pt idx="23">
                  <c:v>0.36520039999999998</c:v>
                </c:pt>
                <c:pt idx="24">
                  <c:v>0.36549369999999998</c:v>
                </c:pt>
                <c:pt idx="25">
                  <c:v>0.36578699999999997</c:v>
                </c:pt>
                <c:pt idx="26">
                  <c:v>0.36608030000000003</c:v>
                </c:pt>
                <c:pt idx="27">
                  <c:v>0.36637360000000002</c:v>
                </c:pt>
                <c:pt idx="28">
                  <c:v>0.36666689999999902</c:v>
                </c:pt>
                <c:pt idx="29">
                  <c:v>0.36696020000000001</c:v>
                </c:pt>
                <c:pt idx="30">
                  <c:v>0.36725350000000001</c:v>
                </c:pt>
                <c:pt idx="31">
                  <c:v>0.36754679999999901</c:v>
                </c:pt>
                <c:pt idx="32">
                  <c:v>0.3678401</c:v>
                </c:pt>
                <c:pt idx="33">
                  <c:v>0.3681334</c:v>
                </c:pt>
                <c:pt idx="34">
                  <c:v>0.3684267</c:v>
                </c:pt>
                <c:pt idx="35">
                  <c:v>0.36871999999999999</c:v>
                </c:pt>
              </c:numCache>
            </c:numRef>
          </c:yVal>
          <c:smooth val="0"/>
          <c:extLst>
            <c:ext xmlns:c16="http://schemas.microsoft.com/office/drawing/2014/chart" uri="{C3380CC4-5D6E-409C-BE32-E72D297353CC}">
              <c16:uniqueId val="{00000007-9E13-49AE-AAE9-A9CF9D77A424}"/>
            </c:ext>
          </c:extLst>
        </c:ser>
        <c:ser>
          <c:idx val="8"/>
          <c:order val="8"/>
          <c:tx>
            <c:strRef>
              <c:f>'Wind Capacity Factor'!$J$3</c:f>
              <c:strCache>
                <c:ptCount val="1"/>
                <c:pt idx="0">
                  <c:v>Class 9</c:v>
                </c:pt>
              </c:strCache>
            </c:strRef>
          </c:tx>
          <c:spPr>
            <a:ln w="28575" cap="rnd">
              <a:solidFill>
                <a:schemeClr val="accent3">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Factor'!$J$4:$J$39</c:f>
              <c:numCache>
                <c:formatCode>0%</c:formatCode>
                <c:ptCount val="36"/>
                <c:pt idx="0">
                  <c:v>0.19816025714285715</c:v>
                </c:pt>
                <c:pt idx="1">
                  <c:v>0.19816025714285715</c:v>
                </c:pt>
                <c:pt idx="2">
                  <c:v>0.18251549436984901</c:v>
                </c:pt>
                <c:pt idx="3">
                  <c:v>0.18742300313685201</c:v>
                </c:pt>
                <c:pt idx="4">
                  <c:v>0.165713</c:v>
                </c:pt>
                <c:pt idx="5">
                  <c:v>0.27</c:v>
                </c:pt>
                <c:pt idx="6">
                  <c:v>0.27</c:v>
                </c:pt>
                <c:pt idx="7">
                  <c:v>0.28000000000000003</c:v>
                </c:pt>
                <c:pt idx="8">
                  <c:v>0.33</c:v>
                </c:pt>
                <c:pt idx="9">
                  <c:v>0.33561000000000002</c:v>
                </c:pt>
                <c:pt idx="10">
                  <c:v>0.33812999999999999</c:v>
                </c:pt>
                <c:pt idx="11">
                  <c:v>0.34065000000000001</c:v>
                </c:pt>
                <c:pt idx="12">
                  <c:v>0.34316999999999998</c:v>
                </c:pt>
                <c:pt idx="13">
                  <c:v>0.34569</c:v>
                </c:pt>
                <c:pt idx="14">
                  <c:v>0.34821000000000002</c:v>
                </c:pt>
                <c:pt idx="15">
                  <c:v>0.35072999999999999</c:v>
                </c:pt>
                <c:pt idx="16">
                  <c:v>0.35101349999999998</c:v>
                </c:pt>
                <c:pt idx="17">
                  <c:v>0.35129700000000003</c:v>
                </c:pt>
                <c:pt idx="18">
                  <c:v>0.35158050000000002</c:v>
                </c:pt>
                <c:pt idx="19">
                  <c:v>0.35186400000000001</c:v>
                </c:pt>
                <c:pt idx="20">
                  <c:v>0.3521475</c:v>
                </c:pt>
                <c:pt idx="21">
                  <c:v>0.35243099999999999</c:v>
                </c:pt>
                <c:pt idx="22">
                  <c:v>0.35271449999999999</c:v>
                </c:pt>
                <c:pt idx="23">
                  <c:v>0.35299799999999998</c:v>
                </c:pt>
                <c:pt idx="24">
                  <c:v>0.35328150000000003</c:v>
                </c:pt>
                <c:pt idx="25">
                  <c:v>0.35356500000000002</c:v>
                </c:pt>
                <c:pt idx="26">
                  <c:v>0.35384850000000001</c:v>
                </c:pt>
                <c:pt idx="27">
                  <c:v>0.354132</c:v>
                </c:pt>
                <c:pt idx="28">
                  <c:v>0.35441549999999999</c:v>
                </c:pt>
                <c:pt idx="29">
                  <c:v>0.35469899999999999</c:v>
                </c:pt>
                <c:pt idx="30">
                  <c:v>0.35498249999999998</c:v>
                </c:pt>
                <c:pt idx="31">
                  <c:v>0.35526600000000003</c:v>
                </c:pt>
                <c:pt idx="32">
                  <c:v>0.35554950000000002</c:v>
                </c:pt>
                <c:pt idx="33">
                  <c:v>0.35583300000000001</c:v>
                </c:pt>
                <c:pt idx="34">
                  <c:v>0.3561165</c:v>
                </c:pt>
                <c:pt idx="35">
                  <c:v>0.35639999999999999</c:v>
                </c:pt>
              </c:numCache>
            </c:numRef>
          </c:yVal>
          <c:smooth val="0"/>
          <c:extLst>
            <c:ext xmlns:c16="http://schemas.microsoft.com/office/drawing/2014/chart" uri="{C3380CC4-5D6E-409C-BE32-E72D297353CC}">
              <c16:uniqueId val="{00000008-9E13-49AE-AAE9-A9CF9D77A424}"/>
            </c:ext>
          </c:extLst>
        </c:ser>
        <c:ser>
          <c:idx val="9"/>
          <c:order val="9"/>
          <c:tx>
            <c:strRef>
              <c:f>'Wind Capacity Factor'!$K$3</c:f>
              <c:strCache>
                <c:ptCount val="1"/>
                <c:pt idx="0">
                  <c:v>Class 10</c:v>
                </c:pt>
              </c:strCache>
            </c:strRef>
          </c:tx>
          <c:spPr>
            <a:ln w="28575" cap="rnd">
              <a:solidFill>
                <a:schemeClr val="accent4">
                  <a:lumMod val="60000"/>
                </a:schemeClr>
              </a:solidFill>
              <a:round/>
            </a:ln>
            <a:effectLst/>
          </c:spPr>
          <c:marker>
            <c:symbol val="none"/>
          </c:marker>
          <c:xVal>
            <c:numRef>
              <c:f>'Wind Capacity Factor'!$A$4:$A$39</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'Wind Capacity Factor'!$K$4:$K$39</c:f>
              <c:numCache>
                <c:formatCode>0%</c:formatCode>
                <c:ptCount val="36"/>
                <c:pt idx="0">
                  <c:v>0.12280647</c:v>
                </c:pt>
                <c:pt idx="1">
                  <c:v>0.12280647</c:v>
                </c:pt>
                <c:pt idx="2">
                  <c:v>0.111049550321784</c:v>
                </c:pt>
                <c:pt idx="3">
                  <c:v>0.114581586146978</c:v>
                </c:pt>
                <c:pt idx="4">
                  <c:v>0.10073799999999999</c:v>
                </c:pt>
                <c:pt idx="5">
                  <c:v>0.17</c:v>
                </c:pt>
                <c:pt idx="6">
                  <c:v>0.17</c:v>
                </c:pt>
                <c:pt idx="7">
                  <c:v>0.18</c:v>
                </c:pt>
                <c:pt idx="8">
                  <c:v>0.26</c:v>
                </c:pt>
                <c:pt idx="9">
                  <c:v>0.26434466666666601</c:v>
                </c:pt>
                <c:pt idx="10">
                  <c:v>0.26632955555555499</c:v>
                </c:pt>
                <c:pt idx="11">
                  <c:v>0.26831444444444402</c:v>
                </c:pt>
                <c:pt idx="12">
                  <c:v>0.270299333333333</c:v>
                </c:pt>
                <c:pt idx="13">
                  <c:v>0.27228422222222198</c:v>
                </c:pt>
                <c:pt idx="14">
                  <c:v>0.27426911111111102</c:v>
                </c:pt>
                <c:pt idx="15">
                  <c:v>0.276254</c:v>
                </c:pt>
                <c:pt idx="16">
                  <c:v>0.27647729999999998</c:v>
                </c:pt>
                <c:pt idx="17">
                  <c:v>0.27670059999999902</c:v>
                </c:pt>
                <c:pt idx="18">
                  <c:v>0.2769239</c:v>
                </c:pt>
                <c:pt idx="19">
                  <c:v>0.27714719999999998</c:v>
                </c:pt>
                <c:pt idx="20">
                  <c:v>0.27737050000000002</c:v>
                </c:pt>
                <c:pt idx="21">
                  <c:v>0.2775938</c:v>
                </c:pt>
                <c:pt idx="22">
                  <c:v>0.27781709999999998</c:v>
                </c:pt>
                <c:pt idx="23">
                  <c:v>0.27804040000000002</c:v>
                </c:pt>
                <c:pt idx="24">
                  <c:v>0.2782637</c:v>
                </c:pt>
                <c:pt idx="25">
                  <c:v>0.27848699999999998</c:v>
                </c:pt>
                <c:pt idx="26">
                  <c:v>0.27871030000000002</c:v>
                </c:pt>
                <c:pt idx="27">
                  <c:v>0.2789336</c:v>
                </c:pt>
                <c:pt idx="28">
                  <c:v>0.27915689999999999</c:v>
                </c:pt>
                <c:pt idx="29">
                  <c:v>0.27938020000000002</c:v>
                </c:pt>
                <c:pt idx="30">
                  <c:v>0.2796035</c:v>
                </c:pt>
                <c:pt idx="31">
                  <c:v>0.27982679999999999</c:v>
                </c:pt>
                <c:pt idx="32">
                  <c:v>0.28005010000000002</c:v>
                </c:pt>
                <c:pt idx="33">
                  <c:v>0.28027340000000001</c:v>
                </c:pt>
                <c:pt idx="34">
                  <c:v>0.28049669999999999</c:v>
                </c:pt>
                <c:pt idx="35">
                  <c:v>0.28072000000000003</c:v>
                </c:pt>
              </c:numCache>
            </c:numRef>
          </c:yVal>
          <c:smooth val="0"/>
          <c:extLst>
            <c:ext xmlns:c16="http://schemas.microsoft.com/office/drawing/2014/chart" uri="{C3380CC4-5D6E-409C-BE32-E72D297353CC}">
              <c16:uniqueId val="{00000009-9E13-49AE-AAE9-A9CF9D77A424}"/>
            </c:ext>
          </c:extLst>
        </c:ser>
        <c:dLbls>
          <c:showLegendKey val="0"/>
          <c:showVal val="0"/>
          <c:showCatName val="0"/>
          <c:showSerName val="0"/>
          <c:showPercent val="0"/>
          <c:showBubbleSize val="0"/>
        </c:dLbls>
        <c:axId val="1547777503"/>
        <c:axId val="998650064"/>
      </c:scatterChart>
      <c:valAx>
        <c:axId val="1547777503"/>
        <c:scaling>
          <c:orientation val="minMax"/>
          <c:max val="2050"/>
          <c:min val="2015"/>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650064"/>
        <c:crosses val="autoZero"/>
        <c:crossBetween val="midCat"/>
      </c:valAx>
      <c:valAx>
        <c:axId val="998650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Wind Capacity Factor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77775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0</xdr:rowOff>
    </xdr:from>
    <xdr:to>
      <xdr:col>24</xdr:col>
      <xdr:colOff>107950</xdr:colOff>
      <xdr:row>26</xdr:row>
      <xdr:rowOff>130810</xdr:rowOff>
    </xdr:to>
    <xdr:graphicFrame macro="">
      <xdr:nvGraphicFramePr>
        <xdr:cNvPr id="3" name="Chart 2">
          <a:extLst>
            <a:ext uri="{FF2B5EF4-FFF2-40B4-BE49-F238E27FC236}">
              <a16:creationId xmlns:a16="http://schemas.microsoft.com/office/drawing/2014/main" id="{07213F83-14F5-4F4B-B34E-941359E56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E3">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FD3-3F9C-4708-9D38-F5A474BB0FF1}">
  <dimension ref="A1:S78"/>
  <sheetViews>
    <sheetView tabSelected="1" zoomScaleNormal="100" workbookViewId="0">
      <selection activeCell="C11" sqref="C11"/>
    </sheetView>
  </sheetViews>
  <sheetFormatPr defaultColWidth="9.140625" defaultRowHeight="15" x14ac:dyDescent="0.25"/>
  <cols>
    <col min="1" max="1" width="9.140625" style="75"/>
    <col min="2" max="3" width="42.7109375" style="75" customWidth="1"/>
    <col min="4" max="4" width="1.42578125" style="75" customWidth="1"/>
    <col min="5" max="5" width="28.42578125" style="75" customWidth="1"/>
    <col min="6" max="7" width="9.140625" style="75"/>
    <col min="8" max="8" width="10.7109375" style="75" customWidth="1"/>
    <col min="9" max="16384" width="9.140625" style="75"/>
  </cols>
  <sheetData>
    <row r="1" spans="1:19" ht="15" customHeight="1" x14ac:dyDescent="0.25">
      <c r="A1" s="228" t="s">
        <v>410</v>
      </c>
      <c r="B1" s="228"/>
      <c r="C1" s="72" t="s">
        <v>2</v>
      </c>
      <c r="D1" s="73"/>
      <c r="E1" s="74"/>
    </row>
    <row r="2" spans="1:19" ht="15" customHeight="1" x14ac:dyDescent="0.25">
      <c r="C2" s="76"/>
      <c r="E2" s="74">
        <v>45667</v>
      </c>
    </row>
    <row r="3" spans="1:19" ht="15" customHeight="1" x14ac:dyDescent="0.25">
      <c r="B3" s="77" t="s">
        <v>3</v>
      </c>
      <c r="C3" s="78"/>
      <c r="D3" s="78"/>
      <c r="E3" s="79"/>
      <c r="J3" s="50"/>
    </row>
    <row r="4" spans="1:19" ht="15" customHeight="1" x14ac:dyDescent="0.25">
      <c r="B4" s="80" t="s">
        <v>4</v>
      </c>
      <c r="C4" s="37" t="s">
        <v>413</v>
      </c>
      <c r="D4" s="81"/>
      <c r="E4" s="82"/>
      <c r="I4" s="83"/>
      <c r="J4" s="50"/>
    </row>
    <row r="5" spans="1:19" ht="15" customHeight="1" x14ac:dyDescent="0.25">
      <c r="B5" s="80" t="s">
        <v>6</v>
      </c>
      <c r="C5" s="37" t="s">
        <v>190</v>
      </c>
      <c r="D5" s="81"/>
      <c r="E5" s="82" t="str">
        <f>IF(AND(Revenue_Model&lt;&gt;"Tier 1",Plant_Type="Land Based Wind"),"Wind Must Be Tier 1","")</f>
        <v/>
      </c>
      <c r="I5" s="83"/>
      <c r="J5" s="50"/>
    </row>
    <row r="6" spans="1:19" ht="15" customHeight="1" x14ac:dyDescent="0.25">
      <c r="B6" s="80" t="s">
        <v>8</v>
      </c>
      <c r="C6" s="38">
        <v>2500</v>
      </c>
      <c r="E6" s="227" t="str">
        <f>IF(AND(Revenue_Model="VDER - Value of Distributed Energy Resources",System_Size&gt;5000),"VDER Must be &lt;= 5,000 kW AC",IF(AND(Revenue_Model="NEM - Net Energy Metering",System_Size&gt;5000),"NEM Must be &lt;= 5,000 kW AC",IF(AND(Revenue_Model="Tier 1",System_Size&lt;=5000),"Tier 1 Must be &gt; 5,000 kW AC","kW AC")))</f>
        <v>kW AC</v>
      </c>
      <c r="J6" s="50"/>
    </row>
    <row r="7" spans="1:19" ht="15" customHeight="1" x14ac:dyDescent="0.25">
      <c r="B7" s="80" t="s">
        <v>9</v>
      </c>
      <c r="C7" s="39">
        <v>44197</v>
      </c>
      <c r="E7" s="82"/>
      <c r="J7" s="84"/>
      <c r="K7" s="85"/>
      <c r="L7" s="85"/>
      <c r="M7" s="85"/>
      <c r="N7" s="85"/>
      <c r="O7" s="85"/>
      <c r="P7" s="85"/>
      <c r="Q7" s="85"/>
      <c r="R7" s="85"/>
      <c r="S7" s="85"/>
    </row>
    <row r="8" spans="1:19" ht="15" customHeight="1" x14ac:dyDescent="0.25">
      <c r="B8" s="80" t="s">
        <v>10</v>
      </c>
      <c r="C8" s="75">
        <v>2025</v>
      </c>
      <c r="E8" s="82"/>
      <c r="J8" s="50"/>
    </row>
    <row r="9" spans="1:19" ht="15" customHeight="1" x14ac:dyDescent="0.25">
      <c r="B9" s="80" t="s">
        <v>11</v>
      </c>
      <c r="C9" s="75">
        <f>IF(Tax_Status_Year-YEAR(Date_of_Operation)&lt;0,"Tax Status year can not be before Date of Operation",Tax_Status_Year-YEAR(Date_of_Operation))</f>
        <v>4</v>
      </c>
      <c r="E9" s="82" t="s">
        <v>12</v>
      </c>
      <c r="J9" s="50"/>
    </row>
    <row r="10" spans="1:19" ht="15" customHeight="1" x14ac:dyDescent="0.25">
      <c r="B10" s="86" t="s">
        <v>1</v>
      </c>
      <c r="C10" s="87">
        <f>IFERROR(IF(ValGroup=5,$C$72,$C$78),"")</f>
        <v>6.5875709989976716E-2</v>
      </c>
      <c r="E10" s="82"/>
      <c r="J10" s="50"/>
    </row>
    <row r="11" spans="1:19" ht="15" customHeight="1" x14ac:dyDescent="0.25">
      <c r="B11" s="80" t="s">
        <v>13</v>
      </c>
      <c r="C11" s="40">
        <v>0.03</v>
      </c>
      <c r="E11" s="82"/>
      <c r="J11" s="50"/>
    </row>
    <row r="12" spans="1:19" ht="15" customHeight="1" x14ac:dyDescent="0.25">
      <c r="B12" s="80" t="str">
        <f>IF(Nominal_Real_Switch=1,"Loaded Nominal Discount Rate","Loaded Real Discount Rate")</f>
        <v>Loaded Nominal Discount Rate</v>
      </c>
      <c r="C12" s="87">
        <f>IFERROR(CHOOSE(Nominal_Real_Switch,(1+$C$10)*(1+Inflation)*(1+$C$11)-1,(1+$C$10)*(1+$C$11)-1),"")</f>
        <v>0.12529828082191785</v>
      </c>
      <c r="E12" s="82"/>
    </row>
    <row r="13" spans="1:19" ht="15" customHeight="1" x14ac:dyDescent="0.25">
      <c r="B13" s="80" t="s">
        <v>14</v>
      </c>
      <c r="C13" s="41">
        <v>5000</v>
      </c>
      <c r="E13" s="82"/>
    </row>
    <row r="14" spans="1:19" ht="15" customHeight="1" x14ac:dyDescent="0.25">
      <c r="B14" s="88" t="s">
        <v>15</v>
      </c>
      <c r="C14" s="42">
        <v>0.02</v>
      </c>
      <c r="D14" s="89"/>
      <c r="E14" s="90"/>
    </row>
    <row r="15" spans="1:19" ht="15" customHeight="1" x14ac:dyDescent="0.25"/>
    <row r="16" spans="1:19" ht="15" customHeight="1" x14ac:dyDescent="0.25">
      <c r="B16" s="91" t="s">
        <v>16</v>
      </c>
      <c r="C16" s="43"/>
      <c r="D16" s="78"/>
      <c r="E16" s="92"/>
      <c r="H16" s="93"/>
      <c r="I16" s="236"/>
      <c r="J16" s="236"/>
    </row>
    <row r="17" spans="2:10" ht="15" customHeight="1" x14ac:dyDescent="0.25">
      <c r="B17" s="80" t="s">
        <v>17</v>
      </c>
      <c r="C17" s="44" t="s">
        <v>18</v>
      </c>
      <c r="E17" s="82"/>
      <c r="H17" s="93"/>
      <c r="I17" s="93"/>
      <c r="J17" s="93"/>
    </row>
    <row r="18" spans="2:10" ht="15" customHeight="1" x14ac:dyDescent="0.25">
      <c r="B18" s="80" t="s">
        <v>19</v>
      </c>
      <c r="C18" s="45" t="s">
        <v>211</v>
      </c>
      <c r="D18" s="81"/>
      <c r="E18" s="82"/>
      <c r="H18" s="94"/>
      <c r="I18" s="95"/>
      <c r="J18" s="95"/>
    </row>
    <row r="19" spans="2:10" ht="15" customHeight="1" x14ac:dyDescent="0.25">
      <c r="B19" s="80" t="s">
        <v>21</v>
      </c>
      <c r="C19" s="46">
        <f>VLOOKUP(VDER_Utility_Name,DRV_Table,3,FALSE)</f>
        <v>0.21</v>
      </c>
      <c r="E19" s="82" t="s">
        <v>22</v>
      </c>
      <c r="H19" s="94"/>
      <c r="I19" s="96"/>
      <c r="J19" s="96"/>
    </row>
    <row r="20" spans="2:10" ht="15" customHeight="1" x14ac:dyDescent="0.25">
      <c r="B20" s="80" t="str">
        <f>IF(AND($C$22="",Community_Adder=""),"Default Maximum MTC/CC",IF(AND($C$22&lt;&gt;"",Community_Adder=""),"Actual Market Transition or Community Credit","Community Adder Replaces MTC/CC"))</f>
        <v>Default Maximum MTC/CC</v>
      </c>
      <c r="C20" s="46">
        <f>IF(AND($C$22="",Community_Adder=""),VLOOKUP(VDER_Utility_Name,DRV_Table,4,FALSE),IF(AND($C$22&lt;&gt;"",Community_Adder=""),$C$22,0))</f>
        <v>2.8199999999999999E-2</v>
      </c>
      <c r="E20" s="82" t="s">
        <v>22</v>
      </c>
      <c r="H20" s="94"/>
      <c r="I20" s="96"/>
      <c r="J20" s="96"/>
    </row>
    <row r="21" spans="2:10" ht="15" customHeight="1" x14ac:dyDescent="0.25">
      <c r="B21" s="97" t="s">
        <v>23</v>
      </c>
      <c r="C21" s="46"/>
      <c r="E21" s="98" t="str">
        <f>IF(AND($C$22&lt;&gt;"",Community_Adder&lt;&gt;""),"Only One Optional VDER Input Can Be Filled In","")</f>
        <v/>
      </c>
      <c r="H21" s="94"/>
      <c r="I21" s="96"/>
      <c r="J21" s="96"/>
    </row>
    <row r="22" spans="2:10" ht="15" customHeight="1" x14ac:dyDescent="0.25">
      <c r="B22" s="80" t="s">
        <v>24</v>
      </c>
      <c r="C22" s="47"/>
      <c r="E22" s="82" t="s">
        <v>22</v>
      </c>
      <c r="H22" s="94"/>
      <c r="I22" s="99"/>
      <c r="J22" s="99"/>
    </row>
    <row r="23" spans="2:10" ht="15" customHeight="1" x14ac:dyDescent="0.25">
      <c r="B23" s="80" t="s">
        <v>25</v>
      </c>
      <c r="C23" s="48"/>
      <c r="E23" s="82" t="s">
        <v>26</v>
      </c>
      <c r="H23" s="100"/>
      <c r="I23" s="101"/>
      <c r="J23" s="101"/>
    </row>
    <row r="24" spans="2:10" ht="15" customHeight="1" x14ac:dyDescent="0.25">
      <c r="B24" s="229" t="s">
        <v>416</v>
      </c>
      <c r="C24" s="230"/>
      <c r="D24" s="230"/>
      <c r="E24" s="231"/>
      <c r="H24" s="100"/>
      <c r="I24" s="101"/>
      <c r="J24" s="101"/>
    </row>
    <row r="25" spans="2:10" ht="15" customHeight="1" x14ac:dyDescent="0.25">
      <c r="B25" s="232"/>
      <c r="C25" s="230"/>
      <c r="D25" s="230"/>
      <c r="E25" s="231"/>
    </row>
    <row r="26" spans="2:10" ht="15" customHeight="1" x14ac:dyDescent="0.25">
      <c r="B26" s="232"/>
      <c r="C26" s="230"/>
      <c r="D26" s="230"/>
      <c r="E26" s="231"/>
    </row>
    <row r="27" spans="2:10" ht="15" customHeight="1" x14ac:dyDescent="0.25">
      <c r="B27" s="232"/>
      <c r="C27" s="230"/>
      <c r="D27" s="230"/>
      <c r="E27" s="231"/>
    </row>
    <row r="28" spans="2:10" ht="15" customHeight="1" x14ac:dyDescent="0.25">
      <c r="B28" s="233"/>
      <c r="C28" s="234"/>
      <c r="D28" s="234"/>
      <c r="E28" s="235"/>
    </row>
    <row r="29" spans="2:10" ht="15" customHeight="1" x14ac:dyDescent="0.25"/>
    <row r="30" spans="2:10" ht="15" customHeight="1" x14ac:dyDescent="0.25">
      <c r="B30" s="77" t="s">
        <v>27</v>
      </c>
      <c r="C30" s="78"/>
      <c r="D30" s="78"/>
      <c r="E30" s="92"/>
    </row>
    <row r="31" spans="2:10" ht="15" customHeight="1" x14ac:dyDescent="0.25">
      <c r="B31" s="102" t="s">
        <v>28</v>
      </c>
      <c r="C31" s="49" t="s">
        <v>211</v>
      </c>
      <c r="D31" s="89"/>
      <c r="E31" s="90"/>
    </row>
    <row r="32" spans="2:10" ht="15" customHeight="1" x14ac:dyDescent="0.25"/>
    <row r="33" spans="2:5" ht="15" customHeight="1" x14ac:dyDescent="0.25">
      <c r="B33" s="77" t="s">
        <v>30</v>
      </c>
      <c r="C33" s="78"/>
      <c r="D33" s="78"/>
      <c r="E33" s="92"/>
    </row>
    <row r="34" spans="2:5" ht="15" customHeight="1" x14ac:dyDescent="0.25">
      <c r="B34" s="88" t="s">
        <v>17</v>
      </c>
      <c r="C34" s="49" t="s">
        <v>18</v>
      </c>
      <c r="D34" s="89"/>
      <c r="E34" s="90"/>
    </row>
    <row r="35" spans="2:5" ht="15" customHeight="1" x14ac:dyDescent="0.25">
      <c r="B35" s="103"/>
      <c r="C35" s="50"/>
    </row>
    <row r="36" spans="2:5" x14ac:dyDescent="0.25">
      <c r="B36" s="91" t="s">
        <v>31</v>
      </c>
      <c r="C36" s="43"/>
      <c r="D36" s="78"/>
      <c r="E36" s="92"/>
    </row>
    <row r="37" spans="2:5" ht="15" customHeight="1" x14ac:dyDescent="0.25">
      <c r="B37" s="80" t="s">
        <v>32</v>
      </c>
      <c r="C37" s="51" t="s">
        <v>33</v>
      </c>
      <c r="E37" s="104">
        <f>IF(Cash_Flow_Label="Nominal Dollars",1,2)</f>
        <v>1</v>
      </c>
    </row>
    <row r="38" spans="2:5" ht="15" customHeight="1" x14ac:dyDescent="0.25">
      <c r="B38" s="232" t="str">
        <f>"Note: The model can display cash flows either in Nominal Dollars or in Real "&amp;TEXT(Cash_Flow_Base_Year,"0000")&amp;" Dollars. Nominal Dollars include inflation while Real "&amp;TEXT(Cash_Flow_Base_Year,"0000")&amp;" Dollars do not. The present value of cash flows is not affected by this selection."</f>
        <v>Note: The model can display cash flows either in Nominal Dollars or in Real 2024 Dollars. Nominal Dollars include inflation while Real 2024 Dollars do not. The present value of cash flows is not affected by this selection.</v>
      </c>
      <c r="C38" s="230"/>
      <c r="D38" s="230"/>
      <c r="E38" s="231"/>
    </row>
    <row r="39" spans="2:5" ht="15" customHeight="1" x14ac:dyDescent="0.25">
      <c r="B39" s="233"/>
      <c r="C39" s="234"/>
      <c r="D39" s="234"/>
      <c r="E39" s="235"/>
    </row>
    <row r="40" spans="2:5" ht="15" customHeight="1" x14ac:dyDescent="0.25">
      <c r="B40" s="103"/>
      <c r="C40" s="50"/>
    </row>
    <row r="41" spans="2:5" ht="15" customHeight="1" x14ac:dyDescent="0.25">
      <c r="B41" s="105" t="s">
        <v>34</v>
      </c>
      <c r="C41" s="52"/>
      <c r="D41" s="106"/>
      <c r="E41" s="107"/>
    </row>
    <row r="42" spans="2:5" ht="15" customHeight="1" x14ac:dyDescent="0.25">
      <c r="B42" s="108" t="s">
        <v>35</v>
      </c>
      <c r="C42" s="109">
        <f>IF(AND(Revenue_Model="VDER - Value of Distributed Energy Resources",Plant_Type="Solar - Fixed Axis"),1,IF(AND(Revenue_Model="VDER - Value of Distributed Energy Resources",Plant_Type="Solar - Tracking"),2,IF(AND(Revenue_Model="Tier 1",Plant_Type="Solar - Fixed Axis"),3,IF(AND(Revenue_Model="Tier 1",Plant_Type="Solar - Tracking"),4,IF(AND(Revenue_Model="Tier 1",Plant_Type="Land Based Wind"),5,IF(AND(Revenue_Model="NEM - Net Energy Metering",Plant_Type="Solar - Fixed Axis"),6,IF(AND(Revenue_Model="NEM - Net Energy Metering",Plant_Type="Solar - Tracking"),7,"ERROR")))))))</f>
        <v>1</v>
      </c>
      <c r="D42" s="109"/>
      <c r="E42" s="110"/>
    </row>
    <row r="43" spans="2:5" ht="15" customHeight="1" x14ac:dyDescent="0.25">
      <c r="B43" s="108" t="s">
        <v>17</v>
      </c>
      <c r="C43" s="111" t="str">
        <f>IF(Revenue_Model="VDER - Value of Distributed Energy Resources",LEFT(C17,1),IF(Revenue_Model="Tier 1",LEFT(C34,1),IF(Revenue_Model="NEM - Net Energy Metering",INDEX('2025_Forecasts'!E141:E148,MATCH(NEM_Utility_Name,'2025_Forecasts'!D141:D148,0),1),"ERROR")))</f>
        <v>A</v>
      </c>
      <c r="D43" s="109"/>
      <c r="E43" s="110"/>
    </row>
    <row r="44" spans="2:5" ht="15" customHeight="1" x14ac:dyDescent="0.25">
      <c r="B44" s="108" t="s">
        <v>36</v>
      </c>
      <c r="C44" s="111" t="str" cm="1">
        <f t="array" ref="C44">IF(Revenue_Model="NEM - Net Energy Metering",_xlfn.ANCHORARRAY(ValGroup)&amp;"-"&amp;MATCH(NEM_Utility_Name,'2025_Forecasts'!D141:D148,0)&amp;"-"&amp;NYISO_Zone,ValGroup&amp;NYISO_Zone)</f>
        <v>1A</v>
      </c>
      <c r="D44" s="109"/>
      <c r="E44" s="110"/>
    </row>
    <row r="45" spans="2:5" ht="15" customHeight="1" x14ac:dyDescent="0.25">
      <c r="B45" s="108" t="s">
        <v>37</v>
      </c>
      <c r="C45" s="53">
        <f>VLOOKUP(ValGroup_Zone,ValGroup_Table,2,FALSE)</f>
        <v>0.18755870172944997</v>
      </c>
      <c r="D45" s="109"/>
      <c r="E45" s="110"/>
    </row>
    <row r="46" spans="2:5" ht="15" customHeight="1" x14ac:dyDescent="0.25">
      <c r="B46" s="108" t="s">
        <v>38</v>
      </c>
      <c r="C46" s="54">
        <f>Model!$C$143</f>
        <v>18.21397092323561</v>
      </c>
      <c r="D46" s="109"/>
      <c r="E46" s="110" t="s">
        <v>39</v>
      </c>
    </row>
    <row r="47" spans="2:5" ht="15" customHeight="1" x14ac:dyDescent="0.25">
      <c r="B47" s="108" t="s">
        <v>40</v>
      </c>
      <c r="C47" s="111">
        <f>VLOOKUP(VDER_Utility_Name,DRV_Table,2,FALSE)</f>
        <v>1.0840000000000001</v>
      </c>
      <c r="D47" s="109"/>
      <c r="E47" s="110"/>
    </row>
    <row r="48" spans="2:5" ht="15" customHeight="1" x14ac:dyDescent="0.25">
      <c r="B48" s="108" t="s">
        <v>41</v>
      </c>
      <c r="C48" s="54">
        <f>IF(ValGroup=5,1.8,1.87)</f>
        <v>1.87</v>
      </c>
      <c r="D48" s="109"/>
      <c r="E48" s="110" t="s">
        <v>39</v>
      </c>
    </row>
    <row r="49" spans="2:5" ht="15" customHeight="1" x14ac:dyDescent="0.25">
      <c r="B49" s="108" t="s">
        <v>42</v>
      </c>
      <c r="C49" s="109">
        <v>25</v>
      </c>
      <c r="D49" s="109"/>
      <c r="E49" s="110" t="s">
        <v>12</v>
      </c>
    </row>
    <row r="50" spans="2:5" ht="15" customHeight="1" x14ac:dyDescent="0.25">
      <c r="B50" s="108" t="s">
        <v>43</v>
      </c>
      <c r="C50" s="53">
        <v>2.5000000000000001E-2</v>
      </c>
      <c r="D50" s="109"/>
      <c r="E50" s="110"/>
    </row>
    <row r="51" spans="2:5" x14ac:dyDescent="0.25">
      <c r="B51" s="108" t="s">
        <v>44</v>
      </c>
      <c r="C51" s="112">
        <f>IF(ValGroup=5,0,0.005)</f>
        <v>5.0000000000000001E-3</v>
      </c>
      <c r="D51" s="109"/>
      <c r="E51" s="110"/>
    </row>
    <row r="52" spans="2:5" ht="15" customHeight="1" x14ac:dyDescent="0.25">
      <c r="B52" s="108" t="s">
        <v>45</v>
      </c>
      <c r="C52" s="55">
        <v>0.5</v>
      </c>
      <c r="D52" s="109"/>
      <c r="E52" s="110"/>
    </row>
    <row r="53" spans="2:5" ht="15" customHeight="1" x14ac:dyDescent="0.25">
      <c r="B53" s="108" t="s">
        <v>46</v>
      </c>
      <c r="C53" s="56">
        <v>0.92500000000000004</v>
      </c>
      <c r="D53" s="109"/>
      <c r="E53" s="110"/>
    </row>
    <row r="54" spans="2:5" ht="15" customHeight="1" x14ac:dyDescent="0.25">
      <c r="B54" s="108" t="s">
        <v>47</v>
      </c>
      <c r="C54" s="57">
        <v>0.85</v>
      </c>
      <c r="D54" s="109"/>
      <c r="E54" s="110"/>
    </row>
    <row r="55" spans="2:5" ht="15" customHeight="1" x14ac:dyDescent="0.25">
      <c r="B55" s="108" t="s">
        <v>48</v>
      </c>
      <c r="C55" s="58">
        <f>IF(ValGroup&lt;&gt;5,System_Size,"N/A")</f>
        <v>2500</v>
      </c>
      <c r="D55" s="109"/>
      <c r="E55" s="110" t="s">
        <v>49</v>
      </c>
    </row>
    <row r="56" spans="2:5" ht="15" customHeight="1" x14ac:dyDescent="0.25">
      <c r="B56" s="108" t="s">
        <v>50</v>
      </c>
      <c r="C56" s="59">
        <f>IF(ValGroup&lt;&gt;5,IF(C9&lt;C57,C9,C9-C57),"N/A")</f>
        <v>4</v>
      </c>
      <c r="D56" s="109"/>
      <c r="E56" s="110" t="s">
        <v>12</v>
      </c>
    </row>
    <row r="57" spans="2:5" ht="15" customHeight="1" x14ac:dyDescent="0.25">
      <c r="B57" s="108" t="s">
        <v>51</v>
      </c>
      <c r="C57" s="59">
        <f>IF(ValGroup&lt;&gt;5,15,"N/A")</f>
        <v>15</v>
      </c>
      <c r="D57" s="109"/>
      <c r="E57" s="110" t="s">
        <v>12</v>
      </c>
    </row>
    <row r="58" spans="2:5" ht="15" customHeight="1" x14ac:dyDescent="0.25">
      <c r="B58" s="108" t="s">
        <v>52</v>
      </c>
      <c r="C58" s="58">
        <v>5000</v>
      </c>
      <c r="D58" s="109"/>
      <c r="E58" s="110" t="s">
        <v>53</v>
      </c>
    </row>
    <row r="59" spans="2:5" x14ac:dyDescent="0.25">
      <c r="B59" s="108" t="s">
        <v>54</v>
      </c>
      <c r="C59" s="54">
        <f>IF(ValGroup&lt;&gt;5,IF(System_Size&lt;=Inverter_Size_Step,100,53),0)</f>
        <v>100</v>
      </c>
      <c r="D59" s="109"/>
      <c r="E59" s="110" t="s">
        <v>55</v>
      </c>
    </row>
    <row r="60" spans="2:5" x14ac:dyDescent="0.25">
      <c r="B60" s="108" t="s">
        <v>56</v>
      </c>
      <c r="C60" s="60">
        <v>2024</v>
      </c>
      <c r="D60" s="109"/>
      <c r="E60" s="110"/>
    </row>
    <row r="61" spans="2:5" x14ac:dyDescent="0.25">
      <c r="B61" s="108" t="s">
        <v>57</v>
      </c>
      <c r="C61" s="60">
        <v>2024</v>
      </c>
      <c r="D61" s="109"/>
      <c r="E61" s="110"/>
    </row>
    <row r="62" spans="2:5" x14ac:dyDescent="0.25">
      <c r="B62" s="108" t="s">
        <v>58</v>
      </c>
      <c r="C62" s="60">
        <v>2024</v>
      </c>
      <c r="D62" s="109"/>
      <c r="E62" s="110"/>
    </row>
    <row r="63" spans="2:5" x14ac:dyDescent="0.25">
      <c r="B63" s="113" t="s">
        <v>59</v>
      </c>
      <c r="C63" s="61">
        <f>Tax_Status_Year-1</f>
        <v>2024</v>
      </c>
      <c r="D63" s="114"/>
      <c r="E63" s="226" t="s">
        <v>414</v>
      </c>
    </row>
    <row r="65" spans="2:10" x14ac:dyDescent="0.25">
      <c r="B65" s="62" t="s">
        <v>412</v>
      </c>
      <c r="C65" s="63"/>
      <c r="D65" s="63"/>
      <c r="E65" s="64"/>
    </row>
    <row r="66" spans="2:10" ht="15" customHeight="1" x14ac:dyDescent="0.25">
      <c r="B66" s="65" t="s">
        <v>0</v>
      </c>
      <c r="C66" s="53">
        <v>0.27</v>
      </c>
      <c r="D66" s="57"/>
      <c r="E66" s="66" t="s">
        <v>415</v>
      </c>
      <c r="J66" s="50"/>
    </row>
    <row r="67" spans="2:10" x14ac:dyDescent="0.25">
      <c r="B67" s="67" t="s">
        <v>60</v>
      </c>
      <c r="C67" s="57"/>
      <c r="D67" s="57"/>
      <c r="E67" s="66"/>
    </row>
    <row r="68" spans="2:10" x14ac:dyDescent="0.25">
      <c r="B68" s="65" t="s">
        <v>61</v>
      </c>
      <c r="C68" s="53">
        <v>7.0000000000000007E-2</v>
      </c>
      <c r="D68" s="57"/>
      <c r="E68" s="66"/>
    </row>
    <row r="69" spans="2:10" x14ac:dyDescent="0.25">
      <c r="B69" s="65" t="s">
        <v>62</v>
      </c>
      <c r="C69" s="53">
        <v>0.36199999999999999</v>
      </c>
      <c r="D69" s="57"/>
      <c r="E69" s="66"/>
    </row>
    <row r="70" spans="2:10" x14ac:dyDescent="0.25">
      <c r="B70" s="65" t="s">
        <v>63</v>
      </c>
      <c r="C70" s="53">
        <v>0.09</v>
      </c>
      <c r="D70" s="57"/>
      <c r="E70" s="66"/>
    </row>
    <row r="71" spans="2:10" x14ac:dyDescent="0.25">
      <c r="B71" s="65" t="s">
        <v>64</v>
      </c>
      <c r="C71" s="53">
        <f>C68*C69+C70*(1-C69)/(1-$C$66)</f>
        <v>0.10399753424657535</v>
      </c>
      <c r="D71" s="57"/>
      <c r="E71" s="66"/>
    </row>
    <row r="72" spans="2:10" x14ac:dyDescent="0.25">
      <c r="B72" s="65" t="s">
        <v>65</v>
      </c>
      <c r="C72" s="53">
        <f>(1+C71)/(1+Inflation)-1</f>
        <v>7.7070765118610218E-2</v>
      </c>
      <c r="D72" s="57"/>
      <c r="E72" s="66"/>
    </row>
    <row r="73" spans="2:10" x14ac:dyDescent="0.25">
      <c r="B73" s="67" t="s">
        <v>66</v>
      </c>
      <c r="C73" s="53"/>
      <c r="D73" s="57"/>
      <c r="E73" s="66"/>
    </row>
    <row r="74" spans="2:10" x14ac:dyDescent="0.25">
      <c r="B74" s="65" t="s">
        <v>67</v>
      </c>
      <c r="C74" s="53">
        <v>7.0000000000000007E-2</v>
      </c>
      <c r="D74" s="57"/>
      <c r="E74" s="66"/>
    </row>
    <row r="75" spans="2:10" x14ac:dyDescent="0.25">
      <c r="B75" s="65" t="s">
        <v>62</v>
      </c>
      <c r="C75" s="53">
        <v>0.51500000000000001</v>
      </c>
      <c r="D75" s="57"/>
      <c r="E75" s="66"/>
    </row>
    <row r="76" spans="2:10" x14ac:dyDescent="0.25">
      <c r="B76" s="65" t="s">
        <v>63</v>
      </c>
      <c r="C76" s="53">
        <v>8.5000000000000006E-2</v>
      </c>
      <c r="D76" s="57"/>
      <c r="E76" s="66"/>
    </row>
    <row r="77" spans="2:10" x14ac:dyDescent="0.25">
      <c r="B77" s="65" t="s">
        <v>64</v>
      </c>
      <c r="C77" s="53">
        <f>C74*C75+C76*(1-C75)/(1-$C$66)</f>
        <v>9.252260273972604E-2</v>
      </c>
      <c r="D77" s="57"/>
      <c r="E77" s="66"/>
    </row>
    <row r="78" spans="2:10" x14ac:dyDescent="0.25">
      <c r="B78" s="68" t="s">
        <v>65</v>
      </c>
      <c r="C78" s="69">
        <f>(1+C77)/(1+Inflation)-1</f>
        <v>6.5875709989976716E-2</v>
      </c>
      <c r="D78" s="70"/>
      <c r="E78" s="71"/>
    </row>
  </sheetData>
  <sheetProtection algorithmName="SHA-512" hashValue="/fcE0/XFrOpIHA55qAK05TJeWxY2PlCSSONUVzYGq7JlQDOUYsI7YkA+c1c+ZkkuGNtm/ixNufaJ3BmxN4WG6A==" saltValue="lIvXEXLbjOUEvxh9k0MQaQ==" spinCount="100000" sheet="1" objects="1" scenarios="1" selectLockedCells="1"/>
  <mergeCells count="4">
    <mergeCell ref="A1:B1"/>
    <mergeCell ref="B24:E28"/>
    <mergeCell ref="B38:E39"/>
    <mergeCell ref="I16:J16"/>
  </mergeCells>
  <conditionalFormatting sqref="B16:E28">
    <cfRule type="expression" dxfId="11" priority="3">
      <formula>IF(OR(Revenue_Model="Tier 1",Revenue_Model="NEM - Net Energy Metering"),1,0)</formula>
    </cfRule>
  </conditionalFormatting>
  <conditionalFormatting sqref="B30:E31">
    <cfRule type="expression" dxfId="10" priority="6">
      <formula>IF(OR(Revenue_Model="VDER - Value of Distributed Energy Resources",Revenue_Model="Tier 1"),1,0)</formula>
    </cfRule>
  </conditionalFormatting>
  <conditionalFormatting sqref="B33:E34">
    <cfRule type="expression" dxfId="9" priority="8">
      <formula>IF(OR(Revenue_Model="VDER - Value of Distributed Energy Resources",Revenue_Model="NEM - Net Energy Metering"),1,0)</formula>
    </cfRule>
  </conditionalFormatting>
  <conditionalFormatting sqref="C17:C18 C22:C23">
    <cfRule type="expression" dxfId="8" priority="4">
      <formula>IF(Revenue_Model="VDER - Value of Distributed Energy Resources",1,0)</formula>
    </cfRule>
  </conditionalFormatting>
  <conditionalFormatting sqref="C31">
    <cfRule type="expression" dxfId="7" priority="7">
      <formula>IF(Revenue_Model="NEM - Net Energy Metering",1,0)</formula>
    </cfRule>
  </conditionalFormatting>
  <conditionalFormatting sqref="C34">
    <cfRule type="expression" dxfId="6" priority="9">
      <formula>IF(Revenue_Model="Tier 1",1,0)</formula>
    </cfRule>
  </conditionalFormatting>
  <conditionalFormatting sqref="E5">
    <cfRule type="expression" dxfId="5" priority="1">
      <formula>IF(AND(Revenue_Model&lt;&gt;"Tier 1",Plant_Type="Land Based Wind"),1,0)</formula>
    </cfRule>
  </conditionalFormatting>
  <conditionalFormatting sqref="E6">
    <cfRule type="expression" dxfId="4" priority="2">
      <formula>IF(AND(Revenue_Model="VDER - Value of Distributed Energy Resources",System_Size&gt;5000),1,IF(AND(Revenue_Model="Tier 1",System_Size&lt;=5000),1,IF(AND(Revenue_Model="NEM - Net Energy Metering",System_Size&gt;5000),1,0)))</formula>
    </cfRule>
  </conditionalFormatting>
  <conditionalFormatting sqref="E21">
    <cfRule type="expression" dxfId="3" priority="5">
      <formula>IF(AND(Revenue_Model="VDER - Value of Distributed Energy Resources",$E$21="Only One Optional VDER Input Can Be Filled In"),TRUE,FALSE)</formula>
    </cfRule>
  </conditionalFormatting>
  <dataValidations count="8">
    <dataValidation type="decimal" operator="greaterThanOrEqual" showErrorMessage="1" error="Minimum allowable size for this model is 1000kW (1MW) AC." sqref="C6" xr:uid="{4922ABBF-DF42-4E18-8866-123E546680D7}">
      <formula1>1000</formula1>
    </dataValidation>
    <dataValidation type="whole" operator="equal" showDropDown="1" showInputMessage="1" showErrorMessage="1" error="This model is intended for the 2025 Assessment Roll. Taxable Status Date is limited." sqref="C8" xr:uid="{CDBCD080-FE50-463C-B0F5-FB568E2BB91D}">
      <formula1>2025</formula1>
    </dataValidation>
    <dataValidation type="list" showInputMessage="1" showErrorMessage="1" sqref="C17 C34" xr:uid="{AF43CAB8-F386-4E7B-BEB5-DEB559D1B4D5}">
      <formula1>NYISO_Name</formula1>
    </dataValidation>
    <dataValidation type="decimal" showInputMessage="1" showErrorMessage="1" sqref="C11 C66 C14" xr:uid="{EDB9BEF3-46F0-412B-9B4B-2312FB380779}">
      <formula1>0</formula1>
      <formula2>1</formula2>
    </dataValidation>
    <dataValidation type="list" showInputMessage="1" showErrorMessage="1" sqref="C4" xr:uid="{E7C54202-3B50-4A8F-9FF5-DCB5F48EC076}">
      <formula1>"VDER - Value of Distributed Energy Resources,NEM - Net Energy Metering,Tier 1"</formula1>
    </dataValidation>
    <dataValidation type="date" showInputMessage="1" showErrorMessage="1" error="The date entered must occur before the Taxable Status Year." sqref="C7" xr:uid="{551A72E4-A5CC-4BDE-97F4-85299F957C4A}">
      <formula1>1</formula1>
      <formula2>45352</formula2>
    </dataValidation>
    <dataValidation type="decimal" operator="greaterThanOrEqual" showInputMessage="1" showErrorMessage="1" sqref="C22 C23" xr:uid="{FAC74590-F58A-4767-BE3A-E9ABA8CA53FF}">
      <formula1>0</formula1>
    </dataValidation>
    <dataValidation type="decimal" operator="greaterThan" allowBlank="1" showInputMessage="1" showErrorMessage="1" sqref="C13" xr:uid="{5F4150C1-35DA-4433-968F-B90F7FFF6216}">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358E2214-5368-4C92-A1C0-45577EA59782}">
          <x14:formula1>
            <xm:f>ModelFactors!$AD$2:$AD$3</xm:f>
          </x14:formula1>
          <xm:sqref>C37</xm:sqref>
        </x14:dataValidation>
        <x14:dataValidation type="list" showInputMessage="1" showErrorMessage="1" xr:uid="{7159015A-C292-4380-B745-25DE9BAAF885}">
          <x14:formula1>
            <xm:f>ModelFactors!$P$2:$P$11</xm:f>
          </x14:formula1>
          <xm:sqref>C18</xm:sqref>
        </x14:dataValidation>
        <x14:dataValidation type="list" showInputMessage="1" showErrorMessage="1" xr:uid="{62FC7950-3680-4586-9D0C-3F371B0692ED}">
          <x14:formula1>
            <xm:f>'2025_Forecasts'!$D$141:$D$148</xm:f>
          </x14:formula1>
          <xm:sqref>C31</xm:sqref>
        </x14:dataValidation>
        <x14:dataValidation type="list" showInputMessage="1" showErrorMessage="1" xr:uid="{DACF7929-BF82-470D-83E2-207D75DEAA1C}">
          <x14:formula1>
            <xm:f>IF(OR(Revenue_Model="VDER - Value of Distributed Energy Resources",Revenue_Model="NEM - Net Energy Metering"),ModelFactors!V4:V5,ModelFactors!V6:V8)</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437D-948E-4F1D-B2BF-ABF00F222172}">
  <dimension ref="A2:AA183"/>
  <sheetViews>
    <sheetView zoomScaleNormal="100" workbookViewId="0">
      <selection activeCell="D36" sqref="D36:E36"/>
    </sheetView>
  </sheetViews>
  <sheetFormatPr defaultColWidth="9.140625" defaultRowHeight="15" x14ac:dyDescent="0.25"/>
  <cols>
    <col min="1" max="1" width="3.42578125" style="75" customWidth="1"/>
    <col min="2" max="2" width="25" style="75" customWidth="1"/>
    <col min="3" max="27" width="12.7109375" style="75" customWidth="1"/>
    <col min="28" max="16384" width="9.140625" style="75"/>
  </cols>
  <sheetData>
    <row r="2" spans="2:27" x14ac:dyDescent="0.25">
      <c r="B2" s="115" t="s">
        <v>68</v>
      </c>
      <c r="C2" s="4">
        <f>YEAR(Date_of_Operation)-1+C$3</f>
        <v>2021</v>
      </c>
      <c r="D2" s="5">
        <f t="shared" ref="D2:AA2" si="0">YEAR(Date_of_Operation)-1+D$3</f>
        <v>2022</v>
      </c>
      <c r="E2" s="5">
        <f t="shared" si="0"/>
        <v>2023</v>
      </c>
      <c r="F2" s="5">
        <f t="shared" si="0"/>
        <v>2024</v>
      </c>
      <c r="G2" s="5">
        <f t="shared" si="0"/>
        <v>2025</v>
      </c>
      <c r="H2" s="5">
        <f t="shared" si="0"/>
        <v>2026</v>
      </c>
      <c r="I2" s="5">
        <f t="shared" si="0"/>
        <v>2027</v>
      </c>
      <c r="J2" s="5">
        <f t="shared" si="0"/>
        <v>2028</v>
      </c>
      <c r="K2" s="5">
        <f t="shared" si="0"/>
        <v>2029</v>
      </c>
      <c r="L2" s="5">
        <f t="shared" si="0"/>
        <v>2030</v>
      </c>
      <c r="M2" s="5">
        <f t="shared" si="0"/>
        <v>2031</v>
      </c>
      <c r="N2" s="5">
        <f t="shared" si="0"/>
        <v>2032</v>
      </c>
      <c r="O2" s="5">
        <f t="shared" si="0"/>
        <v>2033</v>
      </c>
      <c r="P2" s="5">
        <f t="shared" si="0"/>
        <v>2034</v>
      </c>
      <c r="Q2" s="5">
        <f t="shared" si="0"/>
        <v>2035</v>
      </c>
      <c r="R2" s="5">
        <f t="shared" si="0"/>
        <v>2036</v>
      </c>
      <c r="S2" s="5">
        <f t="shared" si="0"/>
        <v>2037</v>
      </c>
      <c r="T2" s="5">
        <f t="shared" si="0"/>
        <v>2038</v>
      </c>
      <c r="U2" s="5">
        <f t="shared" si="0"/>
        <v>2039</v>
      </c>
      <c r="V2" s="5">
        <f t="shared" si="0"/>
        <v>2040</v>
      </c>
      <c r="W2" s="5">
        <f t="shared" si="0"/>
        <v>2041</v>
      </c>
      <c r="X2" s="5">
        <f t="shared" si="0"/>
        <v>2042</v>
      </c>
      <c r="Y2" s="5">
        <f t="shared" si="0"/>
        <v>2043</v>
      </c>
      <c r="Z2" s="5">
        <f t="shared" si="0"/>
        <v>2044</v>
      </c>
      <c r="AA2" s="6">
        <f t="shared" si="0"/>
        <v>2045</v>
      </c>
    </row>
    <row r="3" spans="2:27" s="120" customFormat="1" x14ac:dyDescent="0.25">
      <c r="B3" s="116" t="s">
        <v>69</v>
      </c>
      <c r="C3" s="117">
        <v>1</v>
      </c>
      <c r="D3" s="118">
        <v>2</v>
      </c>
      <c r="E3" s="118">
        <v>3</v>
      </c>
      <c r="F3" s="118">
        <v>4</v>
      </c>
      <c r="G3" s="118">
        <v>5</v>
      </c>
      <c r="H3" s="118">
        <v>6</v>
      </c>
      <c r="I3" s="118">
        <v>7</v>
      </c>
      <c r="J3" s="118">
        <v>8</v>
      </c>
      <c r="K3" s="118">
        <v>9</v>
      </c>
      <c r="L3" s="118">
        <v>10</v>
      </c>
      <c r="M3" s="118">
        <v>11</v>
      </c>
      <c r="N3" s="118">
        <v>12</v>
      </c>
      <c r="O3" s="118">
        <v>13</v>
      </c>
      <c r="P3" s="118">
        <v>14</v>
      </c>
      <c r="Q3" s="118">
        <v>15</v>
      </c>
      <c r="R3" s="118">
        <v>16</v>
      </c>
      <c r="S3" s="118">
        <v>17</v>
      </c>
      <c r="T3" s="118">
        <v>18</v>
      </c>
      <c r="U3" s="118">
        <v>19</v>
      </c>
      <c r="V3" s="118">
        <v>20</v>
      </c>
      <c r="W3" s="118">
        <v>21</v>
      </c>
      <c r="X3" s="118">
        <v>22</v>
      </c>
      <c r="Y3" s="118">
        <v>23</v>
      </c>
      <c r="Z3" s="118">
        <v>24</v>
      </c>
      <c r="AA3" s="119">
        <v>25</v>
      </c>
    </row>
    <row r="4" spans="2:27" x14ac:dyDescent="0.25">
      <c r="B4" s="121" t="s">
        <v>70</v>
      </c>
      <c r="C4" s="7">
        <f>C$58</f>
        <v>4107535.5678749541</v>
      </c>
      <c r="D4" s="8">
        <f t="shared" ref="D4:AA4" si="1">D$58</f>
        <v>4086997.8900355794</v>
      </c>
      <c r="E4" s="8">
        <f t="shared" si="1"/>
        <v>4066460.2121962043</v>
      </c>
      <c r="F4" s="8">
        <f t="shared" si="1"/>
        <v>4057007.2536290404</v>
      </c>
      <c r="G4" s="8">
        <f t="shared" si="1"/>
        <v>4025384.8565174551</v>
      </c>
      <c r="H4" s="8">
        <f t="shared" si="1"/>
        <v>4004847.17867808</v>
      </c>
      <c r="I4" s="8">
        <f t="shared" si="1"/>
        <v>3984309.5008387053</v>
      </c>
      <c r="J4" s="8">
        <f t="shared" si="1"/>
        <v>3974631.4718294661</v>
      </c>
      <c r="K4" s="8">
        <f t="shared" si="1"/>
        <v>3943234.1451599556</v>
      </c>
      <c r="L4" s="8">
        <f t="shared" si="1"/>
        <v>3922696.467320581</v>
      </c>
      <c r="M4" s="8">
        <f t="shared" si="1"/>
        <v>3902158.7894812063</v>
      </c>
      <c r="N4" s="8">
        <f t="shared" si="1"/>
        <v>3892255.6900298917</v>
      </c>
      <c r="O4" s="8">
        <f t="shared" si="1"/>
        <v>3861083.4338024566</v>
      </c>
      <c r="P4" s="8">
        <f t="shared" si="1"/>
        <v>3840545.7559630824</v>
      </c>
      <c r="Q4" s="8">
        <f t="shared" si="1"/>
        <v>3820008.0781237069</v>
      </c>
      <c r="R4" s="8">
        <f t="shared" si="1"/>
        <v>3809879.9082303178</v>
      </c>
      <c r="S4" s="8">
        <f t="shared" si="1"/>
        <v>3778932.7224449581</v>
      </c>
      <c r="T4" s="8">
        <f t="shared" si="1"/>
        <v>3758395.044605583</v>
      </c>
      <c r="U4" s="8">
        <f t="shared" si="1"/>
        <v>3737857.3667662083</v>
      </c>
      <c r="V4" s="8">
        <f t="shared" si="1"/>
        <v>3727504.1264307429</v>
      </c>
      <c r="W4" s="8">
        <f t="shared" si="1"/>
        <v>3696782.0110874586</v>
      </c>
      <c r="X4" s="8">
        <f t="shared" si="1"/>
        <v>3676244.3332480839</v>
      </c>
      <c r="Y4" s="8">
        <f t="shared" si="1"/>
        <v>3655706.6554087093</v>
      </c>
      <c r="Z4" s="8">
        <f t="shared" si="1"/>
        <v>3645128.3446311685</v>
      </c>
      <c r="AA4" s="9">
        <f t="shared" si="1"/>
        <v>3614631.2997299596</v>
      </c>
    </row>
    <row r="5" spans="2:27" s="120" customFormat="1" x14ac:dyDescent="0.25">
      <c r="B5" s="122" t="str">
        <f>IF(Revenue_Model="VDER - Value of Distributed Energy Resources","VDER Revenues:","VDER Not Applicable")</f>
        <v>VDER Revenues:</v>
      </c>
      <c r="C5" s="10"/>
      <c r="D5" s="11"/>
      <c r="E5" s="11"/>
      <c r="F5" s="11"/>
      <c r="G5" s="11"/>
      <c r="H5" s="11"/>
      <c r="I5" s="11"/>
      <c r="J5" s="11"/>
      <c r="K5" s="11"/>
      <c r="L5" s="11"/>
      <c r="M5" s="11"/>
      <c r="N5" s="11"/>
      <c r="O5" s="11"/>
      <c r="P5" s="11"/>
      <c r="Q5" s="11"/>
      <c r="R5" s="11"/>
      <c r="S5" s="11"/>
      <c r="T5" s="11"/>
      <c r="U5" s="11"/>
      <c r="V5" s="11"/>
      <c r="W5" s="11"/>
      <c r="X5" s="11"/>
      <c r="Y5" s="11"/>
      <c r="Z5" s="11"/>
      <c r="AA5" s="12"/>
    </row>
    <row r="6" spans="2:27" s="120" customFormat="1" x14ac:dyDescent="0.25">
      <c r="B6" s="121" t="s">
        <v>71</v>
      </c>
      <c r="C6" s="7">
        <f t="shared" ref="C6:AA6" si="2">CHOOSE(Nominal_Real_Switch,C$65,C$66)</f>
        <v>0</v>
      </c>
      <c r="D6" s="8">
        <f>CHOOSE(Nominal_Real_Switch,D$65,D$66)</f>
        <v>0</v>
      </c>
      <c r="E6" s="8">
        <f t="shared" si="2"/>
        <v>0</v>
      </c>
      <c r="F6" s="8">
        <f t="shared" si="2"/>
        <v>0</v>
      </c>
      <c r="G6" s="8">
        <f t="shared" si="2"/>
        <v>186273.25189731436</v>
      </c>
      <c r="H6" s="8">
        <f t="shared" si="2"/>
        <v>202050.36871263178</v>
      </c>
      <c r="I6" s="8">
        <f t="shared" si="2"/>
        <v>186953.15357036717</v>
      </c>
      <c r="J6" s="8">
        <f t="shared" si="2"/>
        <v>179344.9251727341</v>
      </c>
      <c r="K6" s="8">
        <f t="shared" si="2"/>
        <v>169366.84770579083</v>
      </c>
      <c r="L6" s="8">
        <f t="shared" si="2"/>
        <v>179560.89468625441</v>
      </c>
      <c r="M6" s="8">
        <f t="shared" si="2"/>
        <v>176937.71202164661</v>
      </c>
      <c r="N6" s="8">
        <f t="shared" si="2"/>
        <v>174282.72893831931</v>
      </c>
      <c r="O6" s="8">
        <f t="shared" si="2"/>
        <v>163131.5614314008</v>
      </c>
      <c r="P6" s="8">
        <f t="shared" si="2"/>
        <v>155713.28998412943</v>
      </c>
      <c r="Q6" s="8">
        <f t="shared" si="2"/>
        <v>155594.63515092214</v>
      </c>
      <c r="R6" s="8">
        <f t="shared" si="2"/>
        <v>153169.78694582215</v>
      </c>
      <c r="S6" s="8">
        <f t="shared" si="2"/>
        <v>154603.08152655879</v>
      </c>
      <c r="T6" s="8">
        <f t="shared" si="2"/>
        <v>149421.94380068386</v>
      </c>
      <c r="U6" s="8">
        <f t="shared" si="2"/>
        <v>145944.64112064167</v>
      </c>
      <c r="V6" s="8">
        <f t="shared" si="2"/>
        <v>143689.44499257693</v>
      </c>
      <c r="W6" s="8">
        <f t="shared" si="2"/>
        <v>139179.01305673245</v>
      </c>
      <c r="X6" s="8">
        <f t="shared" si="2"/>
        <v>140526.45041611505</v>
      </c>
      <c r="Y6" s="8">
        <f t="shared" si="2"/>
        <v>137874.70899280414</v>
      </c>
      <c r="Z6" s="8">
        <f t="shared" si="2"/>
        <v>139420.46544852701</v>
      </c>
      <c r="AA6" s="9">
        <f t="shared" si="2"/>
        <v>137355.80706047209</v>
      </c>
    </row>
    <row r="7" spans="2:27" s="120" customFormat="1" x14ac:dyDescent="0.25">
      <c r="B7" s="121" t="s">
        <v>72</v>
      </c>
      <c r="C7" s="7">
        <f t="shared" ref="C7:AA7" si="3">CHOOSE(Nominal_Real_Switch,C$74,C$75)</f>
        <v>0</v>
      </c>
      <c r="D7" s="8">
        <f>CHOOSE(Nominal_Real_Switch,D$74,D$75)</f>
        <v>0</v>
      </c>
      <c r="E7" s="8">
        <f t="shared" si="3"/>
        <v>0</v>
      </c>
      <c r="F7" s="8">
        <f t="shared" si="3"/>
        <v>0</v>
      </c>
      <c r="G7" s="8">
        <f t="shared" si="3"/>
        <v>5697.7549396801151</v>
      </c>
      <c r="H7" s="8">
        <f t="shared" si="3"/>
        <v>6353.547280793865</v>
      </c>
      <c r="I7" s="8">
        <f t="shared" si="3"/>
        <v>6721.9411829110304</v>
      </c>
      <c r="J7" s="8">
        <f t="shared" si="3"/>
        <v>7867.1079686131325</v>
      </c>
      <c r="K7" s="8">
        <f t="shared" si="3"/>
        <v>8032.8848241920305</v>
      </c>
      <c r="L7" s="8">
        <f t="shared" si="3"/>
        <v>8340.5333282836818</v>
      </c>
      <c r="M7" s="8">
        <f t="shared" si="3"/>
        <v>8586.1715914005854</v>
      </c>
      <c r="N7" s="8">
        <f t="shared" si="3"/>
        <v>9083.4820048577312</v>
      </c>
      <c r="O7" s="8">
        <f t="shared" si="3"/>
        <v>9994.7102411540127</v>
      </c>
      <c r="P7" s="8">
        <f t="shared" si="3"/>
        <v>11642.438916227693</v>
      </c>
      <c r="Q7" s="8">
        <f t="shared" si="3"/>
        <v>15539.570094715078</v>
      </c>
      <c r="R7" s="8">
        <f t="shared" si="3"/>
        <v>17212.437486939736</v>
      </c>
      <c r="S7" s="8">
        <f t="shared" si="3"/>
        <v>17233.86068113922</v>
      </c>
      <c r="T7" s="8">
        <f t="shared" si="3"/>
        <v>18453.084140887669</v>
      </c>
      <c r="U7" s="8">
        <f t="shared" si="3"/>
        <v>19724.591892149678</v>
      </c>
      <c r="V7" s="8">
        <f t="shared" si="3"/>
        <v>20858.661927014189</v>
      </c>
      <c r="W7" s="8">
        <f t="shared" si="3"/>
        <v>22032.934232697058</v>
      </c>
      <c r="X7" s="8">
        <f t="shared" si="3"/>
        <v>22637.507979514594</v>
      </c>
      <c r="Y7" s="8">
        <f t="shared" si="3"/>
        <v>24961.476414185181</v>
      </c>
      <c r="Z7" s="8">
        <f t="shared" si="3"/>
        <v>27683.710219599754</v>
      </c>
      <c r="AA7" s="9">
        <f t="shared" si="3"/>
        <v>28902.0288428479</v>
      </c>
    </row>
    <row r="8" spans="2:27" s="120" customFormat="1" x14ac:dyDescent="0.25">
      <c r="B8" s="121" t="s">
        <v>21</v>
      </c>
      <c r="C8" s="7">
        <f t="shared" ref="C8:AA8" si="4">CHOOSE(Nominal_Real_Switch,C$88,C$89)</f>
        <v>0</v>
      </c>
      <c r="D8" s="8">
        <f t="shared" si="4"/>
        <v>0</v>
      </c>
      <c r="E8" s="8">
        <f t="shared" si="4"/>
        <v>0</v>
      </c>
      <c r="F8" s="8">
        <f t="shared" si="4"/>
        <v>0</v>
      </c>
      <c r="G8" s="8">
        <f t="shared" si="4"/>
        <v>65942.330730391986</v>
      </c>
      <c r="H8" s="8">
        <f t="shared" si="4"/>
        <v>66842.428482675328</v>
      </c>
      <c r="I8" s="8">
        <f t="shared" si="4"/>
        <v>66395.331627877531</v>
      </c>
      <c r="J8" s="8">
        <f t="shared" si="4"/>
        <v>64725.454415245491</v>
      </c>
      <c r="K8" s="8">
        <f t="shared" si="4"/>
        <v>64725.251864389895</v>
      </c>
      <c r="L8" s="8">
        <f t="shared" si="4"/>
        <v>64490.843226677702</v>
      </c>
      <c r="M8" s="8">
        <f t="shared" si="4"/>
        <v>31961.843976465501</v>
      </c>
      <c r="N8" s="8">
        <f t="shared" si="4"/>
        <v>32342.055870280547</v>
      </c>
      <c r="O8" s="8">
        <f t="shared" si="4"/>
        <v>31524.314585663604</v>
      </c>
      <c r="P8" s="8">
        <f t="shared" si="4"/>
        <v>31356.632061271783</v>
      </c>
      <c r="Q8" s="8">
        <f t="shared" si="4"/>
        <v>31351.293871813858</v>
      </c>
      <c r="R8" s="8">
        <f t="shared" si="4"/>
        <v>31120.742819190094</v>
      </c>
      <c r="S8" s="8">
        <f t="shared" si="4"/>
        <v>31535.914976441691</v>
      </c>
      <c r="T8" s="8">
        <f t="shared" si="4"/>
        <v>31315.323937890687</v>
      </c>
      <c r="U8" s="8">
        <f t="shared" si="4"/>
        <v>30518.219439312637</v>
      </c>
      <c r="V8" s="8">
        <f t="shared" si="4"/>
        <v>30508.517154829613</v>
      </c>
      <c r="W8" s="8">
        <f t="shared" si="4"/>
        <v>30388.355447125621</v>
      </c>
      <c r="X8" s="8">
        <f t="shared" si="4"/>
        <v>30111.421430459603</v>
      </c>
      <c r="Y8" s="8">
        <f t="shared" si="4"/>
        <v>30507.569922862069</v>
      </c>
      <c r="Z8" s="8">
        <f t="shared" si="4"/>
        <v>29679.806817353499</v>
      </c>
      <c r="AA8" s="9">
        <f t="shared" si="4"/>
        <v>29512.124292961671</v>
      </c>
    </row>
    <row r="9" spans="2:27" s="120" customFormat="1" x14ac:dyDescent="0.25">
      <c r="B9" s="121" t="s">
        <v>73</v>
      </c>
      <c r="C9" s="7">
        <f t="shared" ref="C9:AA9" si="5">CHOOSE(Nominal_Real_Switch,C$97,C$98)</f>
        <v>0</v>
      </c>
      <c r="D9" s="8">
        <f t="shared" si="5"/>
        <v>0</v>
      </c>
      <c r="E9" s="8">
        <f t="shared" si="5"/>
        <v>0</v>
      </c>
      <c r="F9" s="8">
        <f t="shared" si="5"/>
        <v>0</v>
      </c>
      <c r="G9" s="8">
        <f t="shared" si="5"/>
        <v>105002.16398225781</v>
      </c>
      <c r="H9" s="8">
        <f t="shared" si="5"/>
        <v>104466.43865581772</v>
      </c>
      <c r="I9" s="8">
        <f t="shared" si="5"/>
        <v>103930.71332937763</v>
      </c>
      <c r="J9" s="8">
        <f t="shared" si="5"/>
        <v>103678.26194267163</v>
      </c>
      <c r="K9" s="8">
        <f t="shared" si="5"/>
        <v>102859.26267649746</v>
      </c>
      <c r="L9" s="8">
        <f t="shared" si="5"/>
        <v>102323.53735005736</v>
      </c>
      <c r="M9" s="8">
        <f t="shared" si="5"/>
        <v>101787.81202361727</v>
      </c>
      <c r="N9" s="8">
        <f t="shared" si="5"/>
        <v>101529.48967442973</v>
      </c>
      <c r="O9" s="8">
        <f t="shared" si="5"/>
        <v>100716.36137073708</v>
      </c>
      <c r="P9" s="8">
        <f t="shared" si="5"/>
        <v>100180.63604429702</v>
      </c>
      <c r="Q9" s="8">
        <f t="shared" si="5"/>
        <v>99644.910717856896</v>
      </c>
      <c r="R9" s="8">
        <f t="shared" si="5"/>
        <v>99380.717406187832</v>
      </c>
      <c r="S9" s="8">
        <f t="shared" si="5"/>
        <v>98573.460064976738</v>
      </c>
      <c r="T9" s="8">
        <f t="shared" si="5"/>
        <v>98037.73473853663</v>
      </c>
      <c r="U9" s="8">
        <f t="shared" si="5"/>
        <v>97502.009412096551</v>
      </c>
      <c r="V9" s="8">
        <f t="shared" si="5"/>
        <v>97231.945137945921</v>
      </c>
      <c r="W9" s="8">
        <f t="shared" si="5"/>
        <v>96430.558759216365</v>
      </c>
      <c r="X9" s="8">
        <f t="shared" si="5"/>
        <v>95894.833432776271</v>
      </c>
      <c r="Y9" s="8">
        <f t="shared" si="5"/>
        <v>95359.108106336178</v>
      </c>
      <c r="Z9" s="8">
        <f t="shared" si="5"/>
        <v>95083.172869704038</v>
      </c>
      <c r="AA9" s="9">
        <f t="shared" si="5"/>
        <v>94287.657453456006</v>
      </c>
    </row>
    <row r="10" spans="2:27" s="120" customFormat="1" x14ac:dyDescent="0.25">
      <c r="B10" s="121" t="s">
        <v>74</v>
      </c>
      <c r="C10" s="7">
        <f t="shared" ref="C10:AA10" si="6">CHOOSE(Nominal_Real_Switch,C$106,C$107)</f>
        <v>0</v>
      </c>
      <c r="D10" s="8">
        <f t="shared" si="6"/>
        <v>0</v>
      </c>
      <c r="E10" s="8">
        <f t="shared" si="6"/>
        <v>0</v>
      </c>
      <c r="F10" s="8">
        <f t="shared" si="6"/>
        <v>0</v>
      </c>
      <c r="G10" s="8">
        <f t="shared" si="6"/>
        <v>0</v>
      </c>
      <c r="H10" s="8">
        <f t="shared" si="6"/>
        <v>0</v>
      </c>
      <c r="I10" s="8">
        <f t="shared" si="6"/>
        <v>0</v>
      </c>
      <c r="J10" s="8">
        <f t="shared" si="6"/>
        <v>0</v>
      </c>
      <c r="K10" s="8">
        <f t="shared" si="6"/>
        <v>0</v>
      </c>
      <c r="L10" s="8">
        <f t="shared" si="6"/>
        <v>0</v>
      </c>
      <c r="M10" s="8">
        <f t="shared" si="6"/>
        <v>0</v>
      </c>
      <c r="N10" s="8">
        <f t="shared" si="6"/>
        <v>0</v>
      </c>
      <c r="O10" s="8">
        <f t="shared" si="6"/>
        <v>0</v>
      </c>
      <c r="P10" s="8">
        <f t="shared" si="6"/>
        <v>0</v>
      </c>
      <c r="Q10" s="8">
        <f t="shared" si="6"/>
        <v>0</v>
      </c>
      <c r="R10" s="8">
        <f t="shared" si="6"/>
        <v>0</v>
      </c>
      <c r="S10" s="8">
        <f t="shared" si="6"/>
        <v>0</v>
      </c>
      <c r="T10" s="8">
        <f t="shared" si="6"/>
        <v>0</v>
      </c>
      <c r="U10" s="8">
        <f t="shared" si="6"/>
        <v>0</v>
      </c>
      <c r="V10" s="8">
        <f t="shared" si="6"/>
        <v>0</v>
      </c>
      <c r="W10" s="8">
        <f t="shared" si="6"/>
        <v>0</v>
      </c>
      <c r="X10" s="8">
        <f t="shared" si="6"/>
        <v>0</v>
      </c>
      <c r="Y10" s="8">
        <f t="shared" si="6"/>
        <v>0</v>
      </c>
      <c r="Z10" s="8">
        <f t="shared" si="6"/>
        <v>0</v>
      </c>
      <c r="AA10" s="9">
        <f t="shared" si="6"/>
        <v>0</v>
      </c>
    </row>
    <row r="11" spans="2:27" s="120" customFormat="1" x14ac:dyDescent="0.25">
      <c r="B11" s="115" t="s">
        <v>75</v>
      </c>
      <c r="C11" s="10">
        <f>SUM(C6:C10)</f>
        <v>0</v>
      </c>
      <c r="D11" s="11">
        <f t="shared" ref="D11:AA11" si="7">SUM(D6:D10)</f>
        <v>0</v>
      </c>
      <c r="E11" s="11">
        <f t="shared" si="7"/>
        <v>0</v>
      </c>
      <c r="F11" s="11">
        <f t="shared" si="7"/>
        <v>0</v>
      </c>
      <c r="G11" s="11">
        <f t="shared" si="7"/>
        <v>362915.50154964428</v>
      </c>
      <c r="H11" s="11">
        <f t="shared" si="7"/>
        <v>379712.7831319187</v>
      </c>
      <c r="I11" s="11">
        <f t="shared" si="7"/>
        <v>364001.13971053337</v>
      </c>
      <c r="J11" s="11">
        <f t="shared" si="7"/>
        <v>355615.74949926435</v>
      </c>
      <c r="K11" s="11">
        <f t="shared" si="7"/>
        <v>344984.24707087025</v>
      </c>
      <c r="L11" s="11">
        <f t="shared" si="7"/>
        <v>354715.80859127315</v>
      </c>
      <c r="M11" s="11">
        <f t="shared" si="7"/>
        <v>319273.53961312992</v>
      </c>
      <c r="N11" s="11">
        <f t="shared" si="7"/>
        <v>317237.75648788735</v>
      </c>
      <c r="O11" s="11">
        <f t="shared" si="7"/>
        <v>305366.94762895547</v>
      </c>
      <c r="P11" s="11">
        <f t="shared" si="7"/>
        <v>298892.99700592592</v>
      </c>
      <c r="Q11" s="11">
        <f t="shared" si="7"/>
        <v>302130.40983530798</v>
      </c>
      <c r="R11" s="11">
        <f t="shared" si="7"/>
        <v>300883.68465813983</v>
      </c>
      <c r="S11" s="11">
        <f t="shared" si="7"/>
        <v>301946.31724911643</v>
      </c>
      <c r="T11" s="11">
        <f t="shared" si="7"/>
        <v>297228.08661799884</v>
      </c>
      <c r="U11" s="11">
        <f t="shared" si="7"/>
        <v>293689.46186420054</v>
      </c>
      <c r="V11" s="11">
        <f t="shared" si="7"/>
        <v>292288.56921236665</v>
      </c>
      <c r="W11" s="11">
        <f t="shared" si="7"/>
        <v>288030.8614957715</v>
      </c>
      <c r="X11" s="11">
        <f t="shared" si="7"/>
        <v>289170.21325886552</v>
      </c>
      <c r="Y11" s="11">
        <f t="shared" si="7"/>
        <v>288702.86343618762</v>
      </c>
      <c r="Z11" s="11">
        <f t="shared" si="7"/>
        <v>291867.15535518428</v>
      </c>
      <c r="AA11" s="12">
        <f t="shared" si="7"/>
        <v>290057.61764973769</v>
      </c>
    </row>
    <row r="12" spans="2:27" s="120" customFormat="1" x14ac:dyDescent="0.25">
      <c r="B12" s="121"/>
      <c r="C12" s="7"/>
      <c r="D12" s="8"/>
      <c r="E12" s="8"/>
      <c r="F12" s="8"/>
      <c r="G12" s="8"/>
      <c r="H12" s="8"/>
      <c r="I12" s="8"/>
      <c r="J12" s="8"/>
      <c r="K12" s="8"/>
      <c r="L12" s="8"/>
      <c r="M12" s="8"/>
      <c r="N12" s="8"/>
      <c r="O12" s="8"/>
      <c r="P12" s="8"/>
      <c r="Q12" s="8"/>
      <c r="R12" s="8"/>
      <c r="S12" s="8"/>
      <c r="T12" s="8"/>
      <c r="U12" s="8"/>
      <c r="V12" s="8"/>
      <c r="W12" s="8"/>
      <c r="X12" s="8"/>
      <c r="Y12" s="8"/>
      <c r="Z12" s="8"/>
      <c r="AA12" s="9"/>
    </row>
    <row r="13" spans="2:27" s="120" customFormat="1" ht="12" customHeight="1" x14ac:dyDescent="0.25">
      <c r="B13" s="123" t="str">
        <f>IF(Revenue_Model="NEM - Net Energy Metering","NEM Revenues:","NEM Not Applicable")</f>
        <v>NEM Not Applicable</v>
      </c>
      <c r="C13" s="124"/>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6"/>
    </row>
    <row r="14" spans="2:27" s="120" customFormat="1" x14ac:dyDescent="0.25">
      <c r="B14" s="121" t="s">
        <v>76</v>
      </c>
      <c r="C14" s="7">
        <f t="shared" ref="C14:AA14" si="8">CHOOSE(Nominal_Real_Switch,C$115,C$116)</f>
        <v>0</v>
      </c>
      <c r="D14" s="8">
        <f t="shared" si="8"/>
        <v>0</v>
      </c>
      <c r="E14" s="8">
        <f t="shared" si="8"/>
        <v>0</v>
      </c>
      <c r="F14" s="8">
        <f t="shared" si="8"/>
        <v>0</v>
      </c>
      <c r="G14" s="8">
        <f t="shared" si="8"/>
        <v>521783.27959194477</v>
      </c>
      <c r="H14" s="8">
        <f t="shared" si="8"/>
        <v>548217.37065645983</v>
      </c>
      <c r="I14" s="8">
        <f t="shared" si="8"/>
        <v>533604.69881828548</v>
      </c>
      <c r="J14" s="8">
        <f t="shared" si="8"/>
        <v>529868.30924408766</v>
      </c>
      <c r="K14" s="8">
        <f t="shared" si="8"/>
        <v>521486.88692942192</v>
      </c>
      <c r="L14" s="8">
        <f t="shared" si="8"/>
        <v>540887.79096725816</v>
      </c>
      <c r="M14" s="8">
        <f t="shared" si="8"/>
        <v>543313.09047985473</v>
      </c>
      <c r="N14" s="8">
        <f t="shared" si="8"/>
        <v>546662.584097896</v>
      </c>
      <c r="O14" s="8">
        <f t="shared" si="8"/>
        <v>537080.45385374909</v>
      </c>
      <c r="P14" s="8">
        <f t="shared" si="8"/>
        <v>533443.09791533183</v>
      </c>
      <c r="Q14" s="8">
        <f t="shared" si="8"/>
        <v>539646.58708181186</v>
      </c>
      <c r="R14" s="8">
        <f t="shared" si="8"/>
        <v>543819.10684067372</v>
      </c>
      <c r="S14" s="8">
        <f t="shared" si="8"/>
        <v>551393.2633089968</v>
      </c>
      <c r="T14" s="8">
        <f t="shared" si="8"/>
        <v>551198.36502850219</v>
      </c>
      <c r="U14" s="8">
        <f t="shared" si="8"/>
        <v>553393.82029265573</v>
      </c>
      <c r="V14" s="8">
        <f t="shared" si="8"/>
        <v>558341.73281832004</v>
      </c>
      <c r="W14" s="8">
        <f t="shared" si="8"/>
        <v>558402.71269986581</v>
      </c>
      <c r="X14" s="8">
        <f t="shared" si="8"/>
        <v>567397.84888829198</v>
      </c>
      <c r="Y14" s="8">
        <f t="shared" si="8"/>
        <v>571190.17852171871</v>
      </c>
      <c r="Z14" s="8">
        <f t="shared" si="8"/>
        <v>581787.16864380089</v>
      </c>
      <c r="AA14" s="9">
        <f t="shared" si="8"/>
        <v>585539.32693590596</v>
      </c>
    </row>
    <row r="15" spans="2:27" s="120" customFormat="1" x14ac:dyDescent="0.25">
      <c r="B15" s="115" t="s">
        <v>77</v>
      </c>
      <c r="C15" s="10">
        <f>SUM(C14:C14)</f>
        <v>0</v>
      </c>
      <c r="D15" s="11">
        <f t="shared" ref="D15:AA15" si="9">SUM(D14:D14)</f>
        <v>0</v>
      </c>
      <c r="E15" s="11">
        <f t="shared" si="9"/>
        <v>0</v>
      </c>
      <c r="F15" s="11">
        <f t="shared" si="9"/>
        <v>0</v>
      </c>
      <c r="G15" s="11">
        <f t="shared" si="9"/>
        <v>521783.27959194477</v>
      </c>
      <c r="H15" s="11">
        <f t="shared" si="9"/>
        <v>548217.37065645983</v>
      </c>
      <c r="I15" s="11">
        <f t="shared" si="9"/>
        <v>533604.69881828548</v>
      </c>
      <c r="J15" s="11">
        <f t="shared" si="9"/>
        <v>529868.30924408766</v>
      </c>
      <c r="K15" s="11">
        <f t="shared" si="9"/>
        <v>521486.88692942192</v>
      </c>
      <c r="L15" s="11">
        <f t="shared" si="9"/>
        <v>540887.79096725816</v>
      </c>
      <c r="M15" s="11">
        <f t="shared" si="9"/>
        <v>543313.09047985473</v>
      </c>
      <c r="N15" s="11">
        <f t="shared" si="9"/>
        <v>546662.584097896</v>
      </c>
      <c r="O15" s="11">
        <f t="shared" si="9"/>
        <v>537080.45385374909</v>
      </c>
      <c r="P15" s="11">
        <f t="shared" si="9"/>
        <v>533443.09791533183</v>
      </c>
      <c r="Q15" s="11">
        <f t="shared" si="9"/>
        <v>539646.58708181186</v>
      </c>
      <c r="R15" s="11">
        <f t="shared" si="9"/>
        <v>543819.10684067372</v>
      </c>
      <c r="S15" s="11">
        <f t="shared" si="9"/>
        <v>551393.2633089968</v>
      </c>
      <c r="T15" s="11">
        <f t="shared" si="9"/>
        <v>551198.36502850219</v>
      </c>
      <c r="U15" s="11">
        <f t="shared" si="9"/>
        <v>553393.82029265573</v>
      </c>
      <c r="V15" s="11">
        <f t="shared" si="9"/>
        <v>558341.73281832004</v>
      </c>
      <c r="W15" s="11">
        <f t="shared" si="9"/>
        <v>558402.71269986581</v>
      </c>
      <c r="X15" s="11">
        <f t="shared" si="9"/>
        <v>567397.84888829198</v>
      </c>
      <c r="Y15" s="11">
        <f t="shared" si="9"/>
        <v>571190.17852171871</v>
      </c>
      <c r="Z15" s="11">
        <f t="shared" si="9"/>
        <v>581787.16864380089</v>
      </c>
      <c r="AA15" s="12">
        <f t="shared" si="9"/>
        <v>585539.32693590596</v>
      </c>
    </row>
    <row r="16" spans="2:27" x14ac:dyDescent="0.25">
      <c r="B16" s="121"/>
      <c r="C16" s="7"/>
      <c r="D16" s="8"/>
      <c r="E16" s="8"/>
      <c r="F16" s="8"/>
      <c r="G16" s="8"/>
      <c r="H16" s="8"/>
      <c r="I16" s="8"/>
      <c r="J16" s="8"/>
      <c r="K16" s="8"/>
      <c r="L16" s="8"/>
      <c r="M16" s="8"/>
      <c r="N16" s="8"/>
      <c r="O16" s="8"/>
      <c r="P16" s="8"/>
      <c r="Q16" s="8"/>
      <c r="R16" s="8"/>
      <c r="S16" s="8"/>
      <c r="T16" s="8"/>
      <c r="U16" s="8"/>
      <c r="V16" s="8"/>
      <c r="W16" s="8"/>
      <c r="X16" s="8"/>
      <c r="Y16" s="8"/>
      <c r="Z16" s="8"/>
      <c r="AA16" s="9"/>
    </row>
    <row r="17" spans="1:27" s="120" customFormat="1" x14ac:dyDescent="0.25">
      <c r="B17" s="123" t="str">
        <f>IF(Revenue_Model="Tier 1","Tier 1 Revenues:","Tier 1 Not Applicable")</f>
        <v>Tier 1 Not Applicable</v>
      </c>
      <c r="C17" s="7"/>
      <c r="D17" s="8"/>
      <c r="E17" s="8"/>
      <c r="F17" s="8"/>
      <c r="G17" s="8"/>
      <c r="H17" s="8"/>
      <c r="I17" s="8"/>
      <c r="J17" s="8"/>
      <c r="K17" s="8"/>
      <c r="L17" s="8"/>
      <c r="M17" s="8"/>
      <c r="N17" s="8"/>
      <c r="O17" s="8"/>
      <c r="P17" s="8"/>
      <c r="Q17" s="8"/>
      <c r="R17" s="8"/>
      <c r="S17" s="8"/>
      <c r="T17" s="8"/>
      <c r="U17" s="8"/>
      <c r="V17" s="8"/>
      <c r="W17" s="8"/>
      <c r="X17" s="8"/>
      <c r="Y17" s="8"/>
      <c r="Z17" s="8"/>
      <c r="AA17" s="9"/>
    </row>
    <row r="18" spans="1:27" s="120" customFormat="1" x14ac:dyDescent="0.25">
      <c r="B18" s="121" t="s">
        <v>71</v>
      </c>
      <c r="C18" s="7">
        <f t="shared" ref="C18:AA18" si="10">CHOOSE(Nominal_Real_Switch,C$122,C$123)</f>
        <v>0</v>
      </c>
      <c r="D18" s="8">
        <f t="shared" si="10"/>
        <v>0</v>
      </c>
      <c r="E18" s="8">
        <f t="shared" si="10"/>
        <v>0</v>
      </c>
      <c r="F18" s="8">
        <f t="shared" si="10"/>
        <v>0</v>
      </c>
      <c r="G18" s="8">
        <f t="shared" si="10"/>
        <v>182030.13139474107</v>
      </c>
      <c r="H18" s="8">
        <f t="shared" si="10"/>
        <v>198029.84798885323</v>
      </c>
      <c r="I18" s="8">
        <f t="shared" si="10"/>
        <v>182223.25436091202</v>
      </c>
      <c r="J18" s="8">
        <f t="shared" si="10"/>
        <v>174248.93665210134</v>
      </c>
      <c r="K18" s="8">
        <f t="shared" si="10"/>
        <v>163539.43839143377</v>
      </c>
      <c r="L18" s="8">
        <f t="shared" si="10"/>
        <v>173067.14731998293</v>
      </c>
      <c r="M18" s="8">
        <f t="shared" si="10"/>
        <v>169529.55401635924</v>
      </c>
      <c r="N18" s="8">
        <f t="shared" si="10"/>
        <v>167558.09905789676</v>
      </c>
      <c r="O18" s="8">
        <f t="shared" si="10"/>
        <v>156125.60553943168</v>
      </c>
      <c r="P18" s="8">
        <f t="shared" si="10"/>
        <v>148751.2498828118</v>
      </c>
      <c r="Q18" s="8">
        <f t="shared" si="10"/>
        <v>148789.06420925807</v>
      </c>
      <c r="R18" s="8">
        <f t="shared" si="10"/>
        <v>146046.51682025738</v>
      </c>
      <c r="S18" s="8">
        <f t="shared" si="10"/>
        <v>147069.59722042177</v>
      </c>
      <c r="T18" s="8">
        <f t="shared" si="10"/>
        <v>142709.53790899715</v>
      </c>
      <c r="U18" s="8">
        <f t="shared" si="10"/>
        <v>138494.36597698217</v>
      </c>
      <c r="V18" s="8">
        <f t="shared" si="10"/>
        <v>135317.30124355273</v>
      </c>
      <c r="W18" s="8">
        <f t="shared" si="10"/>
        <v>130457.76204680932</v>
      </c>
      <c r="X18" s="8">
        <f t="shared" si="10"/>
        <v>131002.48256324927</v>
      </c>
      <c r="Y18" s="8">
        <f t="shared" si="10"/>
        <v>127950.15472919546</v>
      </c>
      <c r="Z18" s="8">
        <f t="shared" si="10"/>
        <v>129476.99849852051</v>
      </c>
      <c r="AA18" s="9">
        <f t="shared" si="10"/>
        <v>126421.91685149061</v>
      </c>
    </row>
    <row r="19" spans="1:27" s="120" customFormat="1" x14ac:dyDescent="0.25">
      <c r="B19" s="121" t="s">
        <v>72</v>
      </c>
      <c r="C19" s="7">
        <f t="shared" ref="C19:AA19" si="11">CHOOSE(Nominal_Real_Switch,C$131,C$132)</f>
        <v>0</v>
      </c>
      <c r="D19" s="8">
        <f t="shared" si="11"/>
        <v>0</v>
      </c>
      <c r="E19" s="8">
        <f t="shared" si="11"/>
        <v>0</v>
      </c>
      <c r="F19" s="8">
        <f t="shared" si="11"/>
        <v>0</v>
      </c>
      <c r="G19" s="8">
        <f t="shared" si="11"/>
        <v>6159.735069924448</v>
      </c>
      <c r="H19" s="8">
        <f t="shared" si="11"/>
        <v>6868.6997630203941</v>
      </c>
      <c r="I19" s="8">
        <f t="shared" si="11"/>
        <v>7266.9634409848977</v>
      </c>
      <c r="J19" s="8">
        <f t="shared" si="11"/>
        <v>8504.981587689872</v>
      </c>
      <c r="K19" s="8">
        <f t="shared" si="11"/>
        <v>8684.1998099373304</v>
      </c>
      <c r="L19" s="8">
        <f t="shared" si="11"/>
        <v>9016.7927873337103</v>
      </c>
      <c r="M19" s="8">
        <f t="shared" si="11"/>
        <v>9282.3476663790116</v>
      </c>
      <c r="N19" s="8">
        <f t="shared" si="11"/>
        <v>9819.9805457921429</v>
      </c>
      <c r="O19" s="8">
        <f t="shared" si="11"/>
        <v>10805.092152598932</v>
      </c>
      <c r="P19" s="8">
        <f t="shared" si="11"/>
        <v>12586.420449975883</v>
      </c>
      <c r="Q19" s="8">
        <f t="shared" si="11"/>
        <v>16799.535237529813</v>
      </c>
      <c r="R19" s="8">
        <f t="shared" si="11"/>
        <v>18608.040526421337</v>
      </c>
      <c r="S19" s="8">
        <f t="shared" si="11"/>
        <v>18631.200736366722</v>
      </c>
      <c r="T19" s="8">
        <f t="shared" si="11"/>
        <v>19949.280152310996</v>
      </c>
      <c r="U19" s="8">
        <f t="shared" si="11"/>
        <v>21323.883126648296</v>
      </c>
      <c r="V19" s="8">
        <f t="shared" si="11"/>
        <v>22549.904785961284</v>
      </c>
      <c r="W19" s="8">
        <f t="shared" si="11"/>
        <v>23819.388359672495</v>
      </c>
      <c r="X19" s="8">
        <f t="shared" si="11"/>
        <v>24472.981599475239</v>
      </c>
      <c r="Y19" s="8">
        <f t="shared" si="11"/>
        <v>26985.379907227223</v>
      </c>
      <c r="Z19" s="8">
        <f t="shared" si="11"/>
        <v>29928.335372540274</v>
      </c>
      <c r="AA19" s="9">
        <f t="shared" si="11"/>
        <v>31245.436586862594</v>
      </c>
    </row>
    <row r="20" spans="1:27" s="120" customFormat="1" x14ac:dyDescent="0.25">
      <c r="B20" s="127" t="s">
        <v>78</v>
      </c>
      <c r="C20" s="13">
        <f t="shared" ref="C20:AA20" si="12">SUM(C18:C19)</f>
        <v>0</v>
      </c>
      <c r="D20" s="14">
        <f t="shared" si="12"/>
        <v>0</v>
      </c>
      <c r="E20" s="14">
        <f t="shared" si="12"/>
        <v>0</v>
      </c>
      <c r="F20" s="14">
        <f t="shared" si="12"/>
        <v>0</v>
      </c>
      <c r="G20" s="14">
        <f t="shared" si="12"/>
        <v>188189.86646466551</v>
      </c>
      <c r="H20" s="14">
        <f t="shared" si="12"/>
        <v>204898.54775187362</v>
      </c>
      <c r="I20" s="14">
        <f t="shared" si="12"/>
        <v>189490.21780189691</v>
      </c>
      <c r="J20" s="14">
        <f t="shared" si="12"/>
        <v>182753.91823979121</v>
      </c>
      <c r="K20" s="14">
        <f t="shared" si="12"/>
        <v>172223.6382013711</v>
      </c>
      <c r="L20" s="14">
        <f t="shared" si="12"/>
        <v>182083.94010731665</v>
      </c>
      <c r="M20" s="14">
        <f t="shared" si="12"/>
        <v>178811.90168273824</v>
      </c>
      <c r="N20" s="14">
        <f t="shared" si="12"/>
        <v>177378.07960368891</v>
      </c>
      <c r="O20" s="14">
        <f t="shared" si="12"/>
        <v>166930.6976920306</v>
      </c>
      <c r="P20" s="14">
        <f t="shared" si="12"/>
        <v>161337.67033278767</v>
      </c>
      <c r="Q20" s="14">
        <f t="shared" si="12"/>
        <v>165588.59944678788</v>
      </c>
      <c r="R20" s="14">
        <f t="shared" si="12"/>
        <v>164654.55734667872</v>
      </c>
      <c r="S20" s="14">
        <f t="shared" si="12"/>
        <v>165700.7979567885</v>
      </c>
      <c r="T20" s="14">
        <f t="shared" si="12"/>
        <v>162658.81806130815</v>
      </c>
      <c r="U20" s="14">
        <f t="shared" si="12"/>
        <v>159818.24910363046</v>
      </c>
      <c r="V20" s="14">
        <f t="shared" si="12"/>
        <v>157867.20602951403</v>
      </c>
      <c r="W20" s="14">
        <f t="shared" si="12"/>
        <v>154277.15040648181</v>
      </c>
      <c r="X20" s="14">
        <f t="shared" si="12"/>
        <v>155475.4641627245</v>
      </c>
      <c r="Y20" s="14">
        <f t="shared" si="12"/>
        <v>154935.5346364227</v>
      </c>
      <c r="Z20" s="14">
        <f t="shared" si="12"/>
        <v>159405.33387106078</v>
      </c>
      <c r="AA20" s="15">
        <f t="shared" si="12"/>
        <v>157667.3534383532</v>
      </c>
    </row>
    <row r="21" spans="1:27" s="120" customFormat="1" ht="12" customHeight="1" x14ac:dyDescent="0.25">
      <c r="B21" s="121"/>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row>
    <row r="22" spans="1:27" s="128" customFormat="1" x14ac:dyDescent="0.25">
      <c r="B22" s="129" t="s">
        <v>79</v>
      </c>
      <c r="C22" s="16">
        <f t="shared" ref="C22:AA22" si="13">IF((C3&lt;=System_Age),0,IF(Revenue_Model="VDER - Value of Distributed Energy Resources",C11,IF(Revenue_Model="NEM - Net Energy Metering",C15,C20)))</f>
        <v>0</v>
      </c>
      <c r="D22" s="17">
        <f t="shared" si="13"/>
        <v>0</v>
      </c>
      <c r="E22" s="17">
        <f t="shared" si="13"/>
        <v>0</v>
      </c>
      <c r="F22" s="17">
        <f t="shared" si="13"/>
        <v>0</v>
      </c>
      <c r="G22" s="17">
        <f t="shared" si="13"/>
        <v>362915.50154964428</v>
      </c>
      <c r="H22" s="17">
        <f t="shared" si="13"/>
        <v>379712.7831319187</v>
      </c>
      <c r="I22" s="17">
        <f t="shared" si="13"/>
        <v>364001.13971053337</v>
      </c>
      <c r="J22" s="17">
        <f t="shared" si="13"/>
        <v>355615.74949926435</v>
      </c>
      <c r="K22" s="17">
        <f t="shared" si="13"/>
        <v>344984.24707087025</v>
      </c>
      <c r="L22" s="17">
        <f t="shared" si="13"/>
        <v>354715.80859127315</v>
      </c>
      <c r="M22" s="17">
        <f t="shared" si="13"/>
        <v>319273.53961312992</v>
      </c>
      <c r="N22" s="17">
        <f t="shared" si="13"/>
        <v>317237.75648788735</v>
      </c>
      <c r="O22" s="17">
        <f t="shared" si="13"/>
        <v>305366.94762895547</v>
      </c>
      <c r="P22" s="17">
        <f t="shared" si="13"/>
        <v>298892.99700592592</v>
      </c>
      <c r="Q22" s="17">
        <f t="shared" si="13"/>
        <v>302130.40983530798</v>
      </c>
      <c r="R22" s="17">
        <f t="shared" si="13"/>
        <v>300883.68465813983</v>
      </c>
      <c r="S22" s="17">
        <f t="shared" si="13"/>
        <v>301946.31724911643</v>
      </c>
      <c r="T22" s="17">
        <f t="shared" si="13"/>
        <v>297228.08661799884</v>
      </c>
      <c r="U22" s="17">
        <f t="shared" si="13"/>
        <v>293689.46186420054</v>
      </c>
      <c r="V22" s="17">
        <f t="shared" si="13"/>
        <v>292288.56921236665</v>
      </c>
      <c r="W22" s="17">
        <f t="shared" si="13"/>
        <v>288030.8614957715</v>
      </c>
      <c r="X22" s="17">
        <f t="shared" si="13"/>
        <v>289170.21325886552</v>
      </c>
      <c r="Y22" s="17">
        <f t="shared" si="13"/>
        <v>288702.86343618762</v>
      </c>
      <c r="Z22" s="17">
        <f t="shared" si="13"/>
        <v>291867.15535518428</v>
      </c>
      <c r="AA22" s="18">
        <f t="shared" si="13"/>
        <v>290057.61764973769</v>
      </c>
    </row>
    <row r="23" spans="1:27" x14ac:dyDescent="0.25">
      <c r="B23" s="121"/>
      <c r="C23" s="19"/>
      <c r="D23" s="20"/>
      <c r="E23" s="20"/>
      <c r="F23" s="20"/>
      <c r="G23" s="20"/>
      <c r="H23" s="20"/>
      <c r="I23" s="20"/>
      <c r="J23" s="20"/>
      <c r="K23" s="20"/>
      <c r="L23" s="20"/>
      <c r="M23" s="20"/>
      <c r="N23" s="20"/>
      <c r="O23" s="20"/>
      <c r="P23" s="20"/>
      <c r="Q23" s="20"/>
      <c r="R23" s="20"/>
      <c r="S23" s="20"/>
      <c r="T23" s="20"/>
      <c r="U23" s="20"/>
      <c r="V23" s="20"/>
      <c r="W23" s="20"/>
      <c r="X23" s="20"/>
      <c r="Y23" s="20"/>
      <c r="Z23" s="20"/>
      <c r="AA23" s="21"/>
    </row>
    <row r="24" spans="1:27" x14ac:dyDescent="0.25">
      <c r="B24" s="115" t="s">
        <v>80</v>
      </c>
      <c r="C24" s="22">
        <f t="shared" ref="C24:AA24" si="14">CHOOSE(Nominal_Real_Switch,C$145,C$146)</f>
        <v>0</v>
      </c>
      <c r="D24" s="23">
        <f>CHOOSE(Nominal_Real_Switch,D$145,D$146)</f>
        <v>0</v>
      </c>
      <c r="E24" s="23">
        <f t="shared" si="14"/>
        <v>0</v>
      </c>
      <c r="F24" s="23">
        <f t="shared" si="14"/>
        <v>0</v>
      </c>
      <c r="G24" s="23">
        <f t="shared" si="14"/>
        <v>46673.300490791247</v>
      </c>
      <c r="H24" s="23">
        <f t="shared" si="14"/>
        <v>47840.133003061033</v>
      </c>
      <c r="I24" s="23">
        <f t="shared" si="14"/>
        <v>49036.136328137552</v>
      </c>
      <c r="J24" s="23">
        <f t="shared" si="14"/>
        <v>50262.039736340987</v>
      </c>
      <c r="K24" s="23">
        <f t="shared" si="14"/>
        <v>51518.590729749507</v>
      </c>
      <c r="L24" s="23">
        <f t="shared" si="14"/>
        <v>52806.555497993242</v>
      </c>
      <c r="M24" s="23">
        <f t="shared" si="14"/>
        <v>54126.719385443073</v>
      </c>
      <c r="N24" s="23">
        <f t="shared" si="14"/>
        <v>55479.887370079145</v>
      </c>
      <c r="O24" s="23">
        <f t="shared" si="14"/>
        <v>56866.884554331118</v>
      </c>
      <c r="P24" s="23">
        <f t="shared" si="14"/>
        <v>58288.556668189398</v>
      </c>
      <c r="Q24" s="23">
        <f t="shared" si="14"/>
        <v>59745.770584894126</v>
      </c>
      <c r="R24" s="23">
        <f t="shared" si="14"/>
        <v>61239.414849516477</v>
      </c>
      <c r="S24" s="23">
        <f t="shared" si="14"/>
        <v>62770.400220754389</v>
      </c>
      <c r="T24" s="23">
        <f t="shared" si="14"/>
        <v>64339.660226273241</v>
      </c>
      <c r="U24" s="23">
        <f t="shared" si="14"/>
        <v>65948.151731930076</v>
      </c>
      <c r="V24" s="23">
        <f t="shared" si="14"/>
        <v>67596.855525228326</v>
      </c>
      <c r="W24" s="23">
        <f t="shared" si="14"/>
        <v>69286.776913359019</v>
      </c>
      <c r="X24" s="23">
        <f t="shared" si="14"/>
        <v>71018.94633619301</v>
      </c>
      <c r="Y24" s="23">
        <f t="shared" si="14"/>
        <v>72794.419994597833</v>
      </c>
      <c r="Z24" s="23">
        <f t="shared" si="14"/>
        <v>74614.280494462771</v>
      </c>
      <c r="AA24" s="24">
        <f t="shared" si="14"/>
        <v>76479.637506824321</v>
      </c>
    </row>
    <row r="25" spans="1:27" x14ac:dyDescent="0.25">
      <c r="B25" s="121" t="s">
        <v>81</v>
      </c>
      <c r="C25" s="19">
        <f t="shared" ref="C25:AA25" si="15">CHOOSE(Nominal_Real_Switch,C$153,C$154)</f>
        <v>0</v>
      </c>
      <c r="D25" s="20">
        <f>CHOOSE(Nominal_Real_Switch,D$153,D$154)</f>
        <v>0</v>
      </c>
      <c r="E25" s="20">
        <f t="shared" si="15"/>
        <v>0</v>
      </c>
      <c r="F25" s="20">
        <f t="shared" si="15"/>
        <v>0</v>
      </c>
      <c r="G25" s="20">
        <f t="shared" si="15"/>
        <v>5412.1607999999997</v>
      </c>
      <c r="H25" s="20">
        <f t="shared" si="15"/>
        <v>5520.4040160000004</v>
      </c>
      <c r="I25" s="20">
        <f t="shared" si="15"/>
        <v>5630.8120963199999</v>
      </c>
      <c r="J25" s="20">
        <f t="shared" si="15"/>
        <v>5743.4283382463991</v>
      </c>
      <c r="K25" s="20">
        <f t="shared" si="15"/>
        <v>5858.2969050113279</v>
      </c>
      <c r="L25" s="20">
        <f t="shared" si="15"/>
        <v>5975.4628431115543</v>
      </c>
      <c r="M25" s="20">
        <f t="shared" si="15"/>
        <v>6094.9720999737856</v>
      </c>
      <c r="N25" s="20">
        <f t="shared" si="15"/>
        <v>6216.8715419732598</v>
      </c>
      <c r="O25" s="20">
        <f t="shared" si="15"/>
        <v>6341.2089728127266</v>
      </c>
      <c r="P25" s="20">
        <f t="shared" si="15"/>
        <v>6468.0331522689803</v>
      </c>
      <c r="Q25" s="20">
        <f t="shared" si="15"/>
        <v>6597.3938153143608</v>
      </c>
      <c r="R25" s="20">
        <f t="shared" si="15"/>
        <v>6729.3416916206461</v>
      </c>
      <c r="S25" s="20">
        <f t="shared" si="15"/>
        <v>6863.9285254530605</v>
      </c>
      <c r="T25" s="20">
        <f t="shared" si="15"/>
        <v>7001.2070959621224</v>
      </c>
      <c r="U25" s="20">
        <f t="shared" si="15"/>
        <v>7141.231237881364</v>
      </c>
      <c r="V25" s="20">
        <f t="shared" si="15"/>
        <v>7284.0558626389902</v>
      </c>
      <c r="W25" s="20">
        <f t="shared" si="15"/>
        <v>7429.7369798917716</v>
      </c>
      <c r="X25" s="20">
        <f t="shared" si="15"/>
        <v>7578.3317194896063</v>
      </c>
      <c r="Y25" s="20">
        <f t="shared" si="15"/>
        <v>7729.8983538793982</v>
      </c>
      <c r="Z25" s="20">
        <f t="shared" si="15"/>
        <v>7884.4963209569851</v>
      </c>
      <c r="AA25" s="21">
        <f t="shared" si="15"/>
        <v>8042.1862473761248</v>
      </c>
    </row>
    <row r="26" spans="1:27" x14ac:dyDescent="0.25">
      <c r="B26" s="121" t="s">
        <v>82</v>
      </c>
      <c r="C26" s="19">
        <f t="shared" ref="C26:AA26" si="16">CHOOSE(Nominal_Real_Switch,C$162,C$163)</f>
        <v>0</v>
      </c>
      <c r="D26" s="20">
        <f t="shared" si="16"/>
        <v>0</v>
      </c>
      <c r="E26" s="20">
        <f t="shared" si="16"/>
        <v>0</v>
      </c>
      <c r="F26" s="20">
        <f t="shared" si="16"/>
        <v>0</v>
      </c>
      <c r="G26" s="20">
        <f t="shared" si="16"/>
        <v>4341.2022460498256</v>
      </c>
      <c r="H26" s="20">
        <f t="shared" si="16"/>
        <v>4341.2022460498256</v>
      </c>
      <c r="I26" s="20">
        <f t="shared" si="16"/>
        <v>4341.2022460498256</v>
      </c>
      <c r="J26" s="20">
        <f t="shared" si="16"/>
        <v>4341.2022460498256</v>
      </c>
      <c r="K26" s="20">
        <f t="shared" si="16"/>
        <v>4341.2022460498256</v>
      </c>
      <c r="L26" s="20">
        <f t="shared" si="16"/>
        <v>4341.2022460498256</v>
      </c>
      <c r="M26" s="20">
        <f t="shared" si="16"/>
        <v>4341.2022460498256</v>
      </c>
      <c r="N26" s="20">
        <f t="shared" si="16"/>
        <v>4341.2022460498256</v>
      </c>
      <c r="O26" s="20">
        <f t="shared" si="16"/>
        <v>4341.2022460498256</v>
      </c>
      <c r="P26" s="20">
        <f t="shared" si="16"/>
        <v>4341.2022460498256</v>
      </c>
      <c r="Q26" s="20">
        <f t="shared" si="16"/>
        <v>4341.2022460498256</v>
      </c>
      <c r="R26" s="20">
        <f t="shared" si="16"/>
        <v>4341.2022460498256</v>
      </c>
      <c r="S26" s="20">
        <f t="shared" si="16"/>
        <v>4341.2022460498256</v>
      </c>
      <c r="T26" s="20">
        <f t="shared" si="16"/>
        <v>4341.2022460498256</v>
      </c>
      <c r="U26" s="20">
        <f t="shared" si="16"/>
        <v>4341.2022460498256</v>
      </c>
      <c r="V26" s="20">
        <f t="shared" si="16"/>
        <v>4341.2022460498256</v>
      </c>
      <c r="W26" s="20">
        <f t="shared" si="16"/>
        <v>4341.2022460498256</v>
      </c>
      <c r="X26" s="20">
        <f t="shared" si="16"/>
        <v>4341.2022460498256</v>
      </c>
      <c r="Y26" s="20">
        <f t="shared" si="16"/>
        <v>4341.2022460498256</v>
      </c>
      <c r="Z26" s="20">
        <f t="shared" si="16"/>
        <v>4341.2022460498256</v>
      </c>
      <c r="AA26" s="21">
        <f t="shared" si="16"/>
        <v>4341.2022460498256</v>
      </c>
    </row>
    <row r="27" spans="1:27" x14ac:dyDescent="0.25">
      <c r="B27" s="116" t="s">
        <v>83</v>
      </c>
      <c r="C27" s="25">
        <f t="shared" ref="C27:AA27" si="17">CHOOSE(Nominal_Real_Switch,C$171,C$172)</f>
        <v>0</v>
      </c>
      <c r="D27" s="26">
        <f t="shared" si="17"/>
        <v>0</v>
      </c>
      <c r="E27" s="26">
        <f t="shared" si="17"/>
        <v>0</v>
      </c>
      <c r="F27" s="26">
        <f t="shared" si="17"/>
        <v>0</v>
      </c>
      <c r="G27" s="26">
        <f t="shared" si="17"/>
        <v>0</v>
      </c>
      <c r="H27" s="26">
        <f t="shared" si="17"/>
        <v>0</v>
      </c>
      <c r="I27" s="26">
        <f t="shared" si="17"/>
        <v>0</v>
      </c>
      <c r="J27" s="26">
        <f t="shared" si="17"/>
        <v>0</v>
      </c>
      <c r="K27" s="26">
        <f t="shared" si="17"/>
        <v>0</v>
      </c>
      <c r="L27" s="26">
        <f t="shared" si="17"/>
        <v>0</v>
      </c>
      <c r="M27" s="26">
        <f t="shared" si="17"/>
        <v>0</v>
      </c>
      <c r="N27" s="26">
        <f t="shared" si="17"/>
        <v>0</v>
      </c>
      <c r="O27" s="26">
        <f t="shared" si="17"/>
        <v>0</v>
      </c>
      <c r="P27" s="26">
        <f t="shared" si="17"/>
        <v>0</v>
      </c>
      <c r="Q27" s="26">
        <f t="shared" si="17"/>
        <v>328021.66445031652</v>
      </c>
      <c r="R27" s="26">
        <f t="shared" si="17"/>
        <v>0</v>
      </c>
      <c r="S27" s="26">
        <f t="shared" si="17"/>
        <v>0</v>
      </c>
      <c r="T27" s="26">
        <f t="shared" si="17"/>
        <v>0</v>
      </c>
      <c r="U27" s="26">
        <f t="shared" si="17"/>
        <v>0</v>
      </c>
      <c r="V27" s="26">
        <f t="shared" si="17"/>
        <v>0</v>
      </c>
      <c r="W27" s="26">
        <f t="shared" si="17"/>
        <v>0</v>
      </c>
      <c r="X27" s="26">
        <f t="shared" si="17"/>
        <v>0</v>
      </c>
      <c r="Y27" s="26">
        <f t="shared" si="17"/>
        <v>0</v>
      </c>
      <c r="Z27" s="26">
        <f t="shared" si="17"/>
        <v>0</v>
      </c>
      <c r="AA27" s="27">
        <f t="shared" si="17"/>
        <v>0</v>
      </c>
    </row>
    <row r="28" spans="1:27" x14ac:dyDescent="0.25">
      <c r="B28" s="121"/>
      <c r="C28" s="19"/>
      <c r="D28" s="20"/>
      <c r="E28" s="20"/>
      <c r="F28" s="20"/>
      <c r="G28" s="20"/>
      <c r="H28" s="20"/>
      <c r="I28" s="20"/>
      <c r="J28" s="20"/>
      <c r="K28" s="20"/>
      <c r="L28" s="20"/>
      <c r="M28" s="20"/>
      <c r="N28" s="20"/>
      <c r="O28" s="20"/>
      <c r="P28" s="20"/>
      <c r="Q28" s="20"/>
      <c r="R28" s="20"/>
      <c r="S28" s="20"/>
      <c r="T28" s="20"/>
      <c r="U28" s="20"/>
      <c r="V28" s="20"/>
      <c r="W28" s="20"/>
      <c r="X28" s="20"/>
      <c r="Y28" s="20"/>
      <c r="Z28" s="20"/>
      <c r="AA28" s="21"/>
    </row>
    <row r="29" spans="1:27" x14ac:dyDescent="0.25">
      <c r="A29" s="128"/>
      <c r="B29" s="129" t="s">
        <v>84</v>
      </c>
      <c r="C29" s="16">
        <f>SUM(C24:C27)</f>
        <v>0</v>
      </c>
      <c r="D29" s="17">
        <f t="shared" ref="D29:AA29" si="18">SUM(D24:D27)</f>
        <v>0</v>
      </c>
      <c r="E29" s="17">
        <f t="shared" si="18"/>
        <v>0</v>
      </c>
      <c r="F29" s="17">
        <f t="shared" si="18"/>
        <v>0</v>
      </c>
      <c r="G29" s="17">
        <f t="shared" si="18"/>
        <v>56426.663536841072</v>
      </c>
      <c r="H29" s="17">
        <f t="shared" si="18"/>
        <v>57701.73926511086</v>
      </c>
      <c r="I29" s="17">
        <f t="shared" si="18"/>
        <v>59008.150670507377</v>
      </c>
      <c r="J29" s="17">
        <f t="shared" si="18"/>
        <v>60346.670320637211</v>
      </c>
      <c r="K29" s="17">
        <f t="shared" si="18"/>
        <v>61718.089880810658</v>
      </c>
      <c r="L29" s="17">
        <f t="shared" si="18"/>
        <v>63123.220587154625</v>
      </c>
      <c r="M29" s="17">
        <f t="shared" si="18"/>
        <v>64562.893731466684</v>
      </c>
      <c r="N29" s="17">
        <f t="shared" si="18"/>
        <v>66037.961158102233</v>
      </c>
      <c r="O29" s="17">
        <f t="shared" si="18"/>
        <v>67549.295773193662</v>
      </c>
      <c r="P29" s="17">
        <f t="shared" si="18"/>
        <v>69097.792066508206</v>
      </c>
      <c r="Q29" s="17">
        <f t="shared" si="18"/>
        <v>398706.03109657485</v>
      </c>
      <c r="R29" s="17">
        <f t="shared" si="18"/>
        <v>72309.958787186944</v>
      </c>
      <c r="S29" s="17">
        <f t="shared" si="18"/>
        <v>73975.530992257278</v>
      </c>
      <c r="T29" s="17">
        <f t="shared" si="18"/>
        <v>75682.069568285195</v>
      </c>
      <c r="U29" s="17">
        <f t="shared" si="18"/>
        <v>77430.585215861269</v>
      </c>
      <c r="V29" s="17">
        <f t="shared" si="18"/>
        <v>79222.11363391715</v>
      </c>
      <c r="W29" s="17">
        <f t="shared" si="18"/>
        <v>81057.71613930061</v>
      </c>
      <c r="X29" s="17">
        <f t="shared" si="18"/>
        <v>82938.480301732445</v>
      </c>
      <c r="Y29" s="17">
        <f t="shared" si="18"/>
        <v>84865.520594527057</v>
      </c>
      <c r="Z29" s="17">
        <f t="shared" si="18"/>
        <v>86839.979061469581</v>
      </c>
      <c r="AA29" s="18">
        <f t="shared" si="18"/>
        <v>88863.026000250276</v>
      </c>
    </row>
    <row r="30" spans="1:27" x14ac:dyDescent="0.25">
      <c r="B30" s="121"/>
      <c r="C30" s="19"/>
      <c r="D30" s="20"/>
      <c r="E30" s="20"/>
      <c r="F30" s="20"/>
      <c r="G30" s="20"/>
      <c r="H30" s="20"/>
      <c r="I30" s="20"/>
      <c r="J30" s="20"/>
      <c r="K30" s="20"/>
      <c r="L30" s="20"/>
      <c r="M30" s="20"/>
      <c r="N30" s="20"/>
      <c r="O30" s="20"/>
      <c r="P30" s="20"/>
      <c r="Q30" s="20"/>
      <c r="R30" s="20"/>
      <c r="S30" s="20"/>
      <c r="T30" s="20"/>
      <c r="U30" s="20"/>
      <c r="V30" s="20"/>
      <c r="W30" s="20"/>
      <c r="X30" s="20"/>
      <c r="Y30" s="20"/>
      <c r="Z30" s="20"/>
      <c r="AA30" s="21"/>
    </row>
    <row r="31" spans="1:27" s="128" customFormat="1" x14ac:dyDescent="0.25">
      <c r="B31" s="129" t="s">
        <v>85</v>
      </c>
      <c r="C31" s="16">
        <f t="shared" ref="C31:AA31" si="19">(C22-C29)</f>
        <v>0</v>
      </c>
      <c r="D31" s="17">
        <f t="shared" si="19"/>
        <v>0</v>
      </c>
      <c r="E31" s="17">
        <f t="shared" si="19"/>
        <v>0</v>
      </c>
      <c r="F31" s="17">
        <f t="shared" si="19"/>
        <v>0</v>
      </c>
      <c r="G31" s="17">
        <f t="shared" si="19"/>
        <v>306488.83801280323</v>
      </c>
      <c r="H31" s="17">
        <f t="shared" si="19"/>
        <v>322011.04386680783</v>
      </c>
      <c r="I31" s="17">
        <f t="shared" si="19"/>
        <v>304992.98904002598</v>
      </c>
      <c r="J31" s="17">
        <f t="shared" si="19"/>
        <v>295269.07917862711</v>
      </c>
      <c r="K31" s="17">
        <f t="shared" si="19"/>
        <v>283266.1571900596</v>
      </c>
      <c r="L31" s="17">
        <f t="shared" si="19"/>
        <v>291592.58800411853</v>
      </c>
      <c r="M31" s="17">
        <f t="shared" si="19"/>
        <v>254710.64588166325</v>
      </c>
      <c r="N31" s="17">
        <f t="shared" si="19"/>
        <v>251199.79532978512</v>
      </c>
      <c r="O31" s="17">
        <f t="shared" si="19"/>
        <v>237817.65185576183</v>
      </c>
      <c r="P31" s="17">
        <f t="shared" si="19"/>
        <v>229795.20493941772</v>
      </c>
      <c r="Q31" s="17">
        <f t="shared" si="19"/>
        <v>-96575.621261266875</v>
      </c>
      <c r="R31" s="17">
        <f t="shared" si="19"/>
        <v>228573.72587095288</v>
      </c>
      <c r="S31" s="17">
        <f t="shared" si="19"/>
        <v>227970.78625685914</v>
      </c>
      <c r="T31" s="17">
        <f t="shared" si="19"/>
        <v>221546.01704971364</v>
      </c>
      <c r="U31" s="17">
        <f t="shared" si="19"/>
        <v>216258.87664833927</v>
      </c>
      <c r="V31" s="17">
        <f t="shared" si="19"/>
        <v>213066.4555784495</v>
      </c>
      <c r="W31" s="17">
        <f t="shared" si="19"/>
        <v>206973.14535647089</v>
      </c>
      <c r="X31" s="17">
        <f t="shared" si="19"/>
        <v>206231.73295713309</v>
      </c>
      <c r="Y31" s="17">
        <f t="shared" si="19"/>
        <v>203837.34284166055</v>
      </c>
      <c r="Z31" s="17">
        <f t="shared" si="19"/>
        <v>205027.1762937147</v>
      </c>
      <c r="AA31" s="18">
        <f t="shared" si="19"/>
        <v>201194.59164948741</v>
      </c>
    </row>
    <row r="32" spans="1:27" s="128" customFormat="1" x14ac:dyDescent="0.25">
      <c r="B32" s="130"/>
      <c r="C32" s="28"/>
      <c r="D32" s="29"/>
      <c r="E32" s="29"/>
      <c r="F32" s="29"/>
      <c r="G32" s="29"/>
      <c r="H32" s="29"/>
      <c r="I32" s="29"/>
      <c r="J32" s="29"/>
      <c r="K32" s="29"/>
      <c r="L32" s="29"/>
      <c r="M32" s="29"/>
      <c r="N32" s="29"/>
      <c r="O32" s="29"/>
      <c r="P32" s="29"/>
      <c r="Q32" s="29"/>
      <c r="R32" s="29"/>
      <c r="S32" s="29"/>
      <c r="T32" s="29"/>
      <c r="U32" s="29"/>
      <c r="V32" s="29"/>
      <c r="W32" s="29"/>
      <c r="X32" s="29"/>
      <c r="Y32" s="29"/>
      <c r="Z32" s="29"/>
      <c r="AA32" s="30"/>
    </row>
    <row r="33" spans="2:27" x14ac:dyDescent="0.25">
      <c r="B33" s="121" t="s">
        <v>86</v>
      </c>
      <c r="C33" s="131">
        <f t="shared" ref="C33:AA33" si="20">CHOOSE(Nominal_Real_Switch,C$45,C$46)</f>
        <v>1.4249609603008975</v>
      </c>
      <c r="D33" s="132">
        <f>CHOOSE(Nominal_Real_Switch,D$45,D$46)</f>
        <v>1.266296220820764</v>
      </c>
      <c r="E33" s="132">
        <f t="shared" si="20"/>
        <v>1.1252982808219179</v>
      </c>
      <c r="F33" s="132">
        <f t="shared" si="20"/>
        <v>1</v>
      </c>
      <c r="G33" s="132">
        <f t="shared" si="20"/>
        <v>0.88865327268570959</v>
      </c>
      <c r="H33" s="132">
        <f t="shared" si="20"/>
        <v>0.78970463905502208</v>
      </c>
      <c r="I33" s="132">
        <f t="shared" si="20"/>
        <v>0.70177361195133237</v>
      </c>
      <c r="J33" s="132">
        <f t="shared" si="20"/>
        <v>0.62363341694502272</v>
      </c>
      <c r="K33" s="132">
        <f t="shared" si="20"/>
        <v>0.55419387692436606</v>
      </c>
      <c r="L33" s="132">
        <f t="shared" si="20"/>
        <v>0.49248620243121927</v>
      </c>
      <c r="M33" s="132">
        <f t="shared" si="20"/>
        <v>0.43764947554305983</v>
      </c>
      <c r="N33" s="132">
        <f t="shared" si="20"/>
        <v>0.38891863873052457</v>
      </c>
      <c r="O33" s="132">
        <f t="shared" si="20"/>
        <v>0.3456138211163518</v>
      </c>
      <c r="P33" s="132">
        <f t="shared" si="20"/>
        <v>0.30713085322045941</v>
      </c>
      <c r="Q33" s="132">
        <f t="shared" si="20"/>
        <v>0.27293283785711558</v>
      </c>
      <c r="R33" s="132">
        <f t="shared" si="20"/>
        <v>0.24254265958512389</v>
      </c>
      <c r="S33" s="132">
        <f t="shared" si="20"/>
        <v>0.21553632820621632</v>
      </c>
      <c r="T33" s="132">
        <f t="shared" si="20"/>
        <v>0.19153706344311536</v>
      </c>
      <c r="U33" s="132">
        <f t="shared" si="20"/>
        <v>0.17021003826933484</v>
      </c>
      <c r="V33" s="132">
        <f t="shared" si="20"/>
        <v>0.15125770755200429</v>
      </c>
      <c r="W33" s="132">
        <f t="shared" si="20"/>
        <v>0.1344156568350266</v>
      </c>
      <c r="X33" s="132">
        <f t="shared" si="20"/>
        <v>0.11944891334664563</v>
      </c>
      <c r="Y33" s="132">
        <f t="shared" si="20"/>
        <v>0.10614866776424838</v>
      </c>
      <c r="Z33" s="132">
        <f t="shared" si="20"/>
        <v>9.4329360999927406E-2</v>
      </c>
      <c r="AA33" s="133">
        <f t="shared" si="20"/>
        <v>8.3826095362937225E-2</v>
      </c>
    </row>
    <row r="34" spans="2:27" s="128" customFormat="1" x14ac:dyDescent="0.25">
      <c r="B34" s="129" t="s">
        <v>87</v>
      </c>
      <c r="C34" s="16">
        <f t="shared" ref="C34:AA34" si="21">C31*C33</f>
        <v>0</v>
      </c>
      <c r="D34" s="17">
        <f t="shared" si="21"/>
        <v>0</v>
      </c>
      <c r="E34" s="17">
        <f t="shared" si="21"/>
        <v>0</v>
      </c>
      <c r="F34" s="17">
        <f t="shared" si="21"/>
        <v>0</v>
      </c>
      <c r="G34" s="17">
        <f t="shared" si="21"/>
        <v>272362.3089417179</v>
      </c>
      <c r="H34" s="17">
        <f t="shared" si="21"/>
        <v>254293.61516856836</v>
      </c>
      <c r="I34" s="17">
        <f t="shared" si="21"/>
        <v>214036.03153845217</v>
      </c>
      <c r="J34" s="17">
        <f t="shared" si="21"/>
        <v>184139.66476637768</v>
      </c>
      <c r="K34" s="17">
        <f t="shared" si="21"/>
        <v>156984.36985462601</v>
      </c>
      <c r="L34" s="17">
        <f t="shared" si="21"/>
        <v>143605.32632323942</v>
      </c>
      <c r="M34" s="17">
        <f t="shared" si="21"/>
        <v>111473.98058534396</v>
      </c>
      <c r="N34" s="17">
        <f t="shared" si="21"/>
        <v>97696.282449046412</v>
      </c>
      <c r="O34" s="17">
        <f t="shared" si="21"/>
        <v>82193.067386788098</v>
      </c>
      <c r="P34" s="17">
        <f t="shared" si="21"/>
        <v>70577.197359013691</v>
      </c>
      <c r="Q34" s="17">
        <f t="shared" si="21"/>
        <v>-26358.658378651555</v>
      </c>
      <c r="R34" s="17">
        <f t="shared" si="21"/>
        <v>55438.879384021951</v>
      </c>
      <c r="S34" s="17">
        <f t="shared" si="21"/>
        <v>49135.986208087583</v>
      </c>
      <c r="T34" s="17">
        <f t="shared" si="21"/>
        <v>42434.273523220516</v>
      </c>
      <c r="U34" s="17">
        <f t="shared" si="21"/>
        <v>36809.431670397193</v>
      </c>
      <c r="V34" s="17">
        <f t="shared" si="21"/>
        <v>32227.943627027227</v>
      </c>
      <c r="W34" s="17">
        <f t="shared" si="21"/>
        <v>27820.431280301469</v>
      </c>
      <c r="X34" s="17">
        <f t="shared" si="21"/>
        <v>24634.156399325155</v>
      </c>
      <c r="Y34" s="17">
        <f t="shared" si="21"/>
        <v>21637.062383246615</v>
      </c>
      <c r="Z34" s="17">
        <f t="shared" si="21"/>
        <v>19340.082527405571</v>
      </c>
      <c r="AA34" s="18">
        <f t="shared" si="21"/>
        <v>16865.357026117144</v>
      </c>
    </row>
    <row r="35" spans="2:27" s="128" customFormat="1" x14ac:dyDescent="0.25">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2:27" x14ac:dyDescent="0.25">
      <c r="B36" s="237" t="s">
        <v>88</v>
      </c>
      <c r="C36" s="237"/>
      <c r="D36" s="238">
        <f>SUM(C34:AA34)</f>
        <v>1887346.7900236724</v>
      </c>
      <c r="E36" s="238"/>
      <c r="F36" s="134" t="str">
        <f>IF(Ground_Lease_Ann&gt;0," Value for Improvements Only","Value for Improvements and Land Necessary for Plant Operations")</f>
        <v xml:space="preserve"> Value for Improvements Only</v>
      </c>
    </row>
    <row r="37" spans="2:27" x14ac:dyDescent="0.25">
      <c r="B37" s="135"/>
      <c r="C37" s="135"/>
      <c r="D37" s="238">
        <f>D36/System_Size</f>
        <v>754.93871600946898</v>
      </c>
      <c r="E37" s="238"/>
      <c r="F37" s="136" t="s">
        <v>89</v>
      </c>
    </row>
    <row r="38" spans="2:27" x14ac:dyDescent="0.25">
      <c r="D38" s="137"/>
      <c r="E38" s="137"/>
      <c r="F38" s="137"/>
    </row>
    <row r="39" spans="2:27" x14ac:dyDescent="0.25">
      <c r="B39" s="239" t="s">
        <v>90</v>
      </c>
      <c r="C39" s="239"/>
      <c r="D39" s="239"/>
      <c r="E39" s="239"/>
      <c r="F39" s="138"/>
    </row>
    <row r="40" spans="2:27" x14ac:dyDescent="0.25">
      <c r="B40" s="139" t="str">
        <f>"Cash flows are expressed in "&amp;Cash_Flow_Label&amp;"."</f>
        <v>Cash flows are expressed in Nominal Dollars.</v>
      </c>
      <c r="F40" s="138"/>
    </row>
    <row r="41" spans="2:27" x14ac:dyDescent="0.25">
      <c r="B41" s="139"/>
      <c r="F41" s="138"/>
    </row>
    <row r="42" spans="2:27" ht="15" customHeight="1" x14ac:dyDescent="0.25">
      <c r="B42" s="128" t="s">
        <v>91</v>
      </c>
      <c r="F42" s="50"/>
    </row>
    <row r="43" spans="2:27" ht="15" customHeight="1" x14ac:dyDescent="0.25">
      <c r="B43" s="128"/>
    </row>
    <row r="44" spans="2:27" ht="15" customHeight="1" x14ac:dyDescent="0.25">
      <c r="B44" s="128" t="s">
        <v>92</v>
      </c>
    </row>
    <row r="45" spans="2:27" x14ac:dyDescent="0.25">
      <c r="B45" s="75" t="s">
        <v>93</v>
      </c>
      <c r="C45" s="140">
        <f>CHOOSE(Nominal_Real_Switch,1/(1+Loaded_Discount_Rate),1/((1+Loaded_Discount_Rate)*(1+Inflation)))^(Model!C2-Cash_Flow_Base_Year)</f>
        <v>1.4249609603008975</v>
      </c>
      <c r="D45" s="140">
        <f>CHOOSE(Nominal_Real_Switch,1/(1+Loaded_Discount_Rate),1/((1+Loaded_Discount_Rate)*(1+Inflation)))^(Model!D2-Cash_Flow_Base_Year)</f>
        <v>1.266296220820764</v>
      </c>
      <c r="E45" s="140">
        <f>CHOOSE(Nominal_Real_Switch,1/(1+Loaded_Discount_Rate),1/((1+Loaded_Discount_Rate)*(1+Inflation)))^(Model!E2-Cash_Flow_Base_Year)</f>
        <v>1.1252982808219179</v>
      </c>
      <c r="F45" s="140">
        <f>CHOOSE(Nominal_Real_Switch,1/(1+Loaded_Discount_Rate),1/((1+Loaded_Discount_Rate)*(1+Inflation)))^(Model!F2-Cash_Flow_Base_Year)</f>
        <v>1</v>
      </c>
      <c r="G45" s="140">
        <f>CHOOSE(Nominal_Real_Switch,1/(1+Loaded_Discount_Rate),1/((1+Loaded_Discount_Rate)*(1+Inflation)))^(Model!G2-Cash_Flow_Base_Year)</f>
        <v>0.88865327268570959</v>
      </c>
      <c r="H45" s="140">
        <f>CHOOSE(Nominal_Real_Switch,1/(1+Loaded_Discount_Rate),1/((1+Loaded_Discount_Rate)*(1+Inflation)))^(Model!H2-Cash_Flow_Base_Year)</f>
        <v>0.78970463905502208</v>
      </c>
      <c r="I45" s="140">
        <f>CHOOSE(Nominal_Real_Switch,1/(1+Loaded_Discount_Rate),1/((1+Loaded_Discount_Rate)*(1+Inflation)))^(Model!I2-Cash_Flow_Base_Year)</f>
        <v>0.70177361195133237</v>
      </c>
      <c r="J45" s="140">
        <f>CHOOSE(Nominal_Real_Switch,1/(1+Loaded_Discount_Rate),1/((1+Loaded_Discount_Rate)*(1+Inflation)))^(Model!J2-Cash_Flow_Base_Year)</f>
        <v>0.62363341694502272</v>
      </c>
      <c r="K45" s="140">
        <f>CHOOSE(Nominal_Real_Switch,1/(1+Loaded_Discount_Rate),1/((1+Loaded_Discount_Rate)*(1+Inflation)))^(Model!K2-Cash_Flow_Base_Year)</f>
        <v>0.55419387692436606</v>
      </c>
      <c r="L45" s="140">
        <f>CHOOSE(Nominal_Real_Switch,1/(1+Loaded_Discount_Rate),1/((1+Loaded_Discount_Rate)*(1+Inflation)))^(Model!L2-Cash_Flow_Base_Year)</f>
        <v>0.49248620243121927</v>
      </c>
      <c r="M45" s="140">
        <f>CHOOSE(Nominal_Real_Switch,1/(1+Loaded_Discount_Rate),1/((1+Loaded_Discount_Rate)*(1+Inflation)))^(Model!M2-Cash_Flow_Base_Year)</f>
        <v>0.43764947554305983</v>
      </c>
      <c r="N45" s="140">
        <f>CHOOSE(Nominal_Real_Switch,1/(1+Loaded_Discount_Rate),1/((1+Loaded_Discount_Rate)*(1+Inflation)))^(Model!N2-Cash_Flow_Base_Year)</f>
        <v>0.38891863873052457</v>
      </c>
      <c r="O45" s="140">
        <f>CHOOSE(Nominal_Real_Switch,1/(1+Loaded_Discount_Rate),1/((1+Loaded_Discount_Rate)*(1+Inflation)))^(Model!O2-Cash_Flow_Base_Year)</f>
        <v>0.3456138211163518</v>
      </c>
      <c r="P45" s="140">
        <f>CHOOSE(Nominal_Real_Switch,1/(1+Loaded_Discount_Rate),1/((1+Loaded_Discount_Rate)*(1+Inflation)))^(Model!P2-Cash_Flow_Base_Year)</f>
        <v>0.30713085322045941</v>
      </c>
      <c r="Q45" s="140">
        <f>CHOOSE(Nominal_Real_Switch,1/(1+Loaded_Discount_Rate),1/((1+Loaded_Discount_Rate)*(1+Inflation)))^(Model!Q2-Cash_Flow_Base_Year)</f>
        <v>0.27293283785711558</v>
      </c>
      <c r="R45" s="140">
        <f>CHOOSE(Nominal_Real_Switch,1/(1+Loaded_Discount_Rate),1/((1+Loaded_Discount_Rate)*(1+Inflation)))^(Model!R2-Cash_Flow_Base_Year)</f>
        <v>0.24254265958512389</v>
      </c>
      <c r="S45" s="140">
        <f>CHOOSE(Nominal_Real_Switch,1/(1+Loaded_Discount_Rate),1/((1+Loaded_Discount_Rate)*(1+Inflation)))^(Model!S2-Cash_Flow_Base_Year)</f>
        <v>0.21553632820621632</v>
      </c>
      <c r="T45" s="140">
        <f>CHOOSE(Nominal_Real_Switch,1/(1+Loaded_Discount_Rate),1/((1+Loaded_Discount_Rate)*(1+Inflation)))^(Model!T2-Cash_Flow_Base_Year)</f>
        <v>0.19153706344311536</v>
      </c>
      <c r="U45" s="140">
        <f>CHOOSE(Nominal_Real_Switch,1/(1+Loaded_Discount_Rate),1/((1+Loaded_Discount_Rate)*(1+Inflation)))^(Model!U2-Cash_Flow_Base_Year)</f>
        <v>0.17021003826933484</v>
      </c>
      <c r="V45" s="140">
        <f>CHOOSE(Nominal_Real_Switch,1/(1+Loaded_Discount_Rate),1/((1+Loaded_Discount_Rate)*(1+Inflation)))^(Model!V2-Cash_Flow_Base_Year)</f>
        <v>0.15125770755200429</v>
      </c>
      <c r="W45" s="140">
        <f>CHOOSE(Nominal_Real_Switch,1/(1+Loaded_Discount_Rate),1/((1+Loaded_Discount_Rate)*(1+Inflation)))^(Model!W2-Cash_Flow_Base_Year)</f>
        <v>0.1344156568350266</v>
      </c>
      <c r="X45" s="140">
        <f>CHOOSE(Nominal_Real_Switch,1/(1+Loaded_Discount_Rate),1/((1+Loaded_Discount_Rate)*(1+Inflation)))^(Model!X2-Cash_Flow_Base_Year)</f>
        <v>0.11944891334664563</v>
      </c>
      <c r="Y45" s="140">
        <f>CHOOSE(Nominal_Real_Switch,1/(1+Loaded_Discount_Rate),1/((1+Loaded_Discount_Rate)*(1+Inflation)))^(Model!Y2-Cash_Flow_Base_Year)</f>
        <v>0.10614866776424838</v>
      </c>
      <c r="Z45" s="140">
        <f>CHOOSE(Nominal_Real_Switch,1/(1+Loaded_Discount_Rate),1/((1+Loaded_Discount_Rate)*(1+Inflation)))^(Model!Z2-Cash_Flow_Base_Year)</f>
        <v>9.4329360999927406E-2</v>
      </c>
      <c r="AA45" s="140">
        <f>CHOOSE(Nominal_Real_Switch,1/(1+Loaded_Discount_Rate),1/((1+Loaded_Discount_Rate)*(1+Inflation)))^(Model!AA2-Cash_Flow_Base_Year)</f>
        <v>8.3826095362937225E-2</v>
      </c>
    </row>
    <row r="46" spans="2:27" x14ac:dyDescent="0.25">
      <c r="B46" s="75" t="s">
        <v>94</v>
      </c>
      <c r="C46" s="140">
        <f>CHOOSE(Nominal_Real_Switch,(1+Inflation)/(1+Loaded_Discount_Rate),1/(1+Loaded_Discount_Rate))^(Model!C2-Cash_Flow_Base_Year)</f>
        <v>1.3232179083190532</v>
      </c>
      <c r="D46" s="140">
        <f>CHOOSE(Nominal_Real_Switch,(1+Inflation)/(1+Loaded_Discount_Rate),1/(1+Loaded_Discount_Rate))^(Model!D2-Cash_Flow_Base_Year)</f>
        <v>1.2052789728216673</v>
      </c>
      <c r="E46" s="140">
        <f>CHOOSE(Nominal_Real_Switch,(1+Inflation)/(1+Loaded_Discount_Rate),1/(1+Loaded_Discount_Rate))^(Model!E2-Cash_Flow_Base_Year)</f>
        <v>1.0978519812896761</v>
      </c>
      <c r="F46" s="140">
        <f>CHOOSE(Nominal_Real_Switch,(1+Inflation)/(1+Loaded_Discount_Rate),1/(1+Loaded_Discount_Rate))^(Model!F2-Cash_Flow_Base_Year)</f>
        <v>1</v>
      </c>
      <c r="G46" s="140">
        <f>CHOOSE(Nominal_Real_Switch,(1+Inflation)/(1+Loaded_Discount_Rate),1/(1+Loaded_Discount_Rate))^(Model!G2-Cash_Flow_Base_Year)</f>
        <v>0.91086960450285226</v>
      </c>
      <c r="H46" s="140">
        <f>CHOOSE(Nominal_Real_Switch,(1+Inflation)/(1+Loaded_Discount_Rate),1/(1+Loaded_Discount_Rate))^(Model!H2-Cash_Flow_Base_Year)</f>
        <v>0.82968343640718245</v>
      </c>
      <c r="I46" s="140">
        <f>CHOOSE(Nominal_Real_Switch,(1+Inflation)/(1+Loaded_Discount_Rate),1/(1+Loaded_Discount_Rate))^(Model!I2-Cash_Flow_Base_Year)</f>
        <v>0.75573342358277762</v>
      </c>
      <c r="J46" s="140">
        <f>CHOOSE(Nominal_Real_Switch,(1+Inflation)/(1+Loaded_Discount_Rate),1/(1+Loaded_Discount_Rate))^(Model!J2-Cash_Flow_Base_Year)</f>
        <v>0.68837460464843114</v>
      </c>
      <c r="K46" s="140">
        <f>CHOOSE(Nominal_Real_Switch,(1+Inflation)/(1+Loaded_Discount_Rate),1/(1+Loaded_Discount_Rate))^(Model!K2-Cash_Flow_Base_Year)</f>
        <v>0.62701950388592376</v>
      </c>
      <c r="L46" s="140">
        <f>CHOOSE(Nominal_Real_Switch,(1+Inflation)/(1+Loaded_Discount_Rate),1/(1+Loaded_Discount_Rate))^(Model!L2-Cash_Flow_Base_Year)</f>
        <v>0.57113300752014595</v>
      </c>
      <c r="M46" s="140">
        <f>CHOOSE(Nominal_Real_Switch,(1+Inflation)/(1+Loaded_Discount_Rate),1/(1+Loaded_Discount_Rate))^(Model!M2-Cash_Flow_Base_Year)</f>
        <v>0.52022769667839985</v>
      </c>
      <c r="N46" s="140">
        <f>CHOOSE(Nominal_Real_Switch,(1+Inflation)/(1+Loaded_Discount_Rate),1/(1+Loaded_Discount_Rate))^(Model!N2-Cash_Flow_Base_Year)</f>
        <v>0.47385959632488389</v>
      </c>
      <c r="O46" s="140">
        <f>CHOOSE(Nominal_Real_Switch,(1+Inflation)/(1+Loaded_Discount_Rate),1/(1+Loaded_Discount_Rate))^(Model!O2-Cash_Flow_Base_Year)</f>
        <v>0.4316243030943282</v>
      </c>
      <c r="P46" s="140">
        <f>CHOOSE(Nominal_Real_Switch,(1+Inflation)/(1+Loaded_Discount_Rate),1/(1+Loaded_Discount_Rate))^(Model!P2-Cash_Flow_Base_Year)</f>
        <v>0.39315345825334996</v>
      </c>
      <c r="Q46" s="140">
        <f>CHOOSE(Nominal_Real_Switch,(1+Inflation)/(1+Loaded_Discount_Rate),1/(1+Loaded_Discount_Rate))^(Model!Q2-Cash_Flow_Base_Year)</f>
        <v>0.35811153502815751</v>
      </c>
      <c r="R46" s="140">
        <f>CHOOSE(Nominal_Real_Switch,(1+Inflation)/(1+Loaded_Discount_Rate),1/(1+Loaded_Discount_Rate))^(Model!R2-Cash_Flow_Base_Year)</f>
        <v>0.3261929122790071</v>
      </c>
      <c r="S46" s="140">
        <f>CHOOSE(Nominal_Real_Switch,(1+Inflation)/(1+Loaded_Discount_Rate),1/(1+Loaded_Discount_Rate))^(Model!S2-Cash_Flow_Base_Year)</f>
        <v>0.29711920899921279</v>
      </c>
      <c r="T46" s="140">
        <f>CHOOSE(Nominal_Real_Switch,(1+Inflation)/(1+Loaded_Discount_Rate),1/(1+Loaded_Discount_Rate))^(Model!T2-Cash_Flow_Base_Year)</f>
        <v>0.27063685639131324</v>
      </c>
      <c r="U46" s="140">
        <f>CHOOSE(Nominal_Real_Switch,(1+Inflation)/(1+Loaded_Discount_Rate),1/(1+Loaded_Discount_Rate))^(Model!U2-Cash_Flow_Base_Year)</f>
        <v>0.2465148863450507</v>
      </c>
      <c r="V46" s="140">
        <f>CHOOSE(Nominal_Real_Switch,(1+Inflation)/(1+Loaded_Discount_Rate),1/(1+Loaded_Discount_Rate))^(Model!V2-Cash_Flow_Base_Year)</f>
        <v>0.22454291702918192</v>
      </c>
      <c r="W46" s="140">
        <f>CHOOSE(Nominal_Real_Switch,(1+Inflation)/(1+Loaded_Discount_Rate),1/(1+Loaded_Discount_Rate))^(Model!W2-Cash_Flow_Base_Year)</f>
        <v>0.20452931802828769</v>
      </c>
      <c r="X46" s="140">
        <f>CHOOSE(Nominal_Real_Switch,(1+Inflation)/(1+Loaded_Discount_Rate),1/(1+Loaded_Discount_Rate))^(Model!X2-Cash_Flow_Base_Year)</f>
        <v>0.18629953902166449</v>
      </c>
      <c r="Y46" s="140">
        <f>CHOOSE(Nominal_Real_Switch,(1+Inflation)/(1+Loaded_Discount_Rate),1/(1+Loaded_Discount_Rate))^(Model!Y2-Cash_Flow_Base_Year)</f>
        <v>0.16969458742772722</v>
      </c>
      <c r="Z46" s="140">
        <f>CHOOSE(Nominal_Real_Switch,(1+Inflation)/(1+Loaded_Discount_Rate),1/(1+Loaded_Discount_Rate))^(Model!Z2-Cash_Flow_Base_Year)</f>
        <v>0.15456964173656859</v>
      </c>
      <c r="AA46" s="140">
        <f>CHOOSE(Nominal_Real_Switch,(1+Inflation)/(1+Loaded_Discount_Rate),1/(1+Loaded_Discount_Rate))^(Model!AA2-Cash_Flow_Base_Year)</f>
        <v>0.14079278843673579</v>
      </c>
    </row>
    <row r="47" spans="2:27" x14ac:dyDescent="0.25">
      <c r="B47" s="75" t="s">
        <v>95</v>
      </c>
      <c r="C47" s="140">
        <f>1/((1+Inflation)^(Model!C2-Cash_Flow_Base_Year))</f>
        <v>1.0768906249999999</v>
      </c>
      <c r="D47" s="140">
        <f>1/((1+Inflation)^(Model!D2-Cash_Flow_Base_Year))</f>
        <v>1.0506249999999999</v>
      </c>
      <c r="E47" s="140">
        <f>1/((1+Inflation)^(Model!E2-Cash_Flow_Base_Year))</f>
        <v>1.0249999999999999</v>
      </c>
      <c r="F47" s="140">
        <f>1/((1+Inflation)^(Model!F2-Cash_Flow_Base_Year))</f>
        <v>1</v>
      </c>
      <c r="G47" s="140">
        <f>1/((1+Inflation)^(Model!G2-Cash_Flow_Base_Year))</f>
        <v>0.97560975609756106</v>
      </c>
      <c r="H47" s="140">
        <f>1/((1+Inflation)^(Model!H2-Cash_Flow_Base_Year))</f>
        <v>0.95181439619274244</v>
      </c>
      <c r="I47" s="140">
        <f>1/((1+Inflation)^(Model!I2-Cash_Flow_Base_Year))</f>
        <v>0.92859941091974885</v>
      </c>
      <c r="J47" s="140">
        <f>1/((1+Inflation)^(Model!J2-Cash_Flow_Base_Year))</f>
        <v>0.90595064479975507</v>
      </c>
      <c r="K47" s="140">
        <f>1/((1+Inflation)^(Model!K2-Cash_Flow_Base_Year))</f>
        <v>0.88385428760951712</v>
      </c>
      <c r="L47" s="140">
        <f>1/((1+Inflation)^(Model!L2-Cash_Flow_Base_Year))</f>
        <v>0.86229686596050459</v>
      </c>
      <c r="M47" s="140">
        <f>1/((1+Inflation)^(Model!M2-Cash_Flow_Base_Year))</f>
        <v>0.84126523508341911</v>
      </c>
      <c r="N47" s="140">
        <f>1/((1+Inflation)^(Model!N2-Cash_Flow_Base_Year))</f>
        <v>0.82074657081309188</v>
      </c>
      <c r="O47" s="140">
        <f>1/((1+Inflation)^(Model!O2-Cash_Flow_Base_Year))</f>
        <v>0.8007283617688703</v>
      </c>
      <c r="P47" s="140">
        <f>1/((1+Inflation)^(Model!P2-Cash_Flow_Base_Year))</f>
        <v>0.78119840172572708</v>
      </c>
      <c r="Q47" s="140">
        <f>1/((1+Inflation)^(Model!Q2-Cash_Flow_Base_Year))</f>
        <v>0.7621447821714411</v>
      </c>
      <c r="R47" s="140">
        <f>1/((1+Inflation)^(Model!R2-Cash_Flow_Base_Year))</f>
        <v>0.74355588504530845</v>
      </c>
      <c r="S47" s="140">
        <f>1/((1+Inflation)^(Model!S2-Cash_Flow_Base_Year))</f>
        <v>0.72542037565395945</v>
      </c>
      <c r="T47" s="140">
        <f>1/((1+Inflation)^(Model!T2-Cash_Flow_Base_Year))</f>
        <v>0.70772719575996057</v>
      </c>
      <c r="U47" s="140">
        <f>1/((1+Inflation)^(Model!U2-Cash_Flow_Base_Year))</f>
        <v>0.69046555683898581</v>
      </c>
      <c r="V47" s="140">
        <f>1/((1+Inflation)^(Model!V2-Cash_Flow_Base_Year))</f>
        <v>0.67362493350144959</v>
      </c>
      <c r="W47" s="140">
        <f>1/((1+Inflation)^(Model!W2-Cash_Flow_Base_Year))</f>
        <v>0.65719505707458503</v>
      </c>
      <c r="X47" s="140">
        <f>1/((1+Inflation)^(Model!X2-Cash_Flow_Base_Year))</f>
        <v>0.64116590934105855</v>
      </c>
      <c r="Y47" s="140">
        <f>1/((1+Inflation)^(Model!Y2-Cash_Flow_Base_Year))</f>
        <v>0.62552771643030103</v>
      </c>
      <c r="Z47" s="140">
        <f>1/((1+Inflation)^(Model!Z2-Cash_Flow_Base_Year))</f>
        <v>0.61027094285883032</v>
      </c>
      <c r="AA47" s="140">
        <f>1/((1+Inflation)^(Model!AA2-Cash_Flow_Base_Year))</f>
        <v>0.59538628571593211</v>
      </c>
    </row>
    <row r="48" spans="2:27" x14ac:dyDescent="0.25">
      <c r="B48" s="75" t="s">
        <v>96</v>
      </c>
      <c r="C48" s="140">
        <f t="shared" ref="C48:AA48" si="22">(1+Inflation)^(C$2-Cost_Base_Year)</f>
        <v>0.92859941091974885</v>
      </c>
      <c r="D48" s="140">
        <f t="shared" si="22"/>
        <v>0.95181439619274244</v>
      </c>
      <c r="E48" s="140">
        <f t="shared" si="22"/>
        <v>0.97560975609756106</v>
      </c>
      <c r="F48" s="140">
        <f t="shared" si="22"/>
        <v>1</v>
      </c>
      <c r="G48" s="140">
        <f t="shared" si="22"/>
        <v>1.0249999999999999</v>
      </c>
      <c r="H48" s="140">
        <f t="shared" si="22"/>
        <v>1.0506249999999999</v>
      </c>
      <c r="I48" s="140">
        <f t="shared" si="22"/>
        <v>1.0768906249999999</v>
      </c>
      <c r="J48" s="140">
        <f t="shared" si="22"/>
        <v>1.1038128906249998</v>
      </c>
      <c r="K48" s="140">
        <f t="shared" si="22"/>
        <v>1.1314082128906247</v>
      </c>
      <c r="L48" s="140">
        <f t="shared" si="22"/>
        <v>1.1596934182128902</v>
      </c>
      <c r="M48" s="140">
        <f t="shared" si="22"/>
        <v>1.1886857536682125</v>
      </c>
      <c r="N48" s="140">
        <f t="shared" si="22"/>
        <v>1.2184028975099177</v>
      </c>
      <c r="O48" s="140">
        <f t="shared" si="22"/>
        <v>1.2488629699476654</v>
      </c>
      <c r="P48" s="140">
        <f t="shared" si="22"/>
        <v>1.2800845441963571</v>
      </c>
      <c r="Q48" s="140">
        <f t="shared" si="22"/>
        <v>1.312086657801266</v>
      </c>
      <c r="R48" s="140">
        <f t="shared" si="22"/>
        <v>1.3448888242462975</v>
      </c>
      <c r="S48" s="140">
        <f t="shared" si="22"/>
        <v>1.3785110448524549</v>
      </c>
      <c r="T48" s="140">
        <f t="shared" si="22"/>
        <v>1.4129738209737661</v>
      </c>
      <c r="U48" s="140">
        <f t="shared" si="22"/>
        <v>1.4482981664981105</v>
      </c>
      <c r="V48" s="140">
        <f t="shared" si="22"/>
        <v>1.4845056206605631</v>
      </c>
      <c r="W48" s="140">
        <f t="shared" si="22"/>
        <v>1.521618261177077</v>
      </c>
      <c r="X48" s="140">
        <f t="shared" si="22"/>
        <v>1.559658717706504</v>
      </c>
      <c r="Y48" s="140">
        <f t="shared" si="22"/>
        <v>1.5986501856491666</v>
      </c>
      <c r="Z48" s="140">
        <f t="shared" si="22"/>
        <v>1.6386164402903955</v>
      </c>
      <c r="AA48" s="140">
        <f t="shared" si="22"/>
        <v>1.6795818512976552</v>
      </c>
    </row>
    <row r="49" spans="2:27" x14ac:dyDescent="0.25">
      <c r="B49" s="75" t="s">
        <v>97</v>
      </c>
      <c r="C49" s="140">
        <f t="shared" ref="C49:AA49" si="23">(1+Inflation)^(C$2-DRV_Ref_Year)</f>
        <v>0.92859941091974885</v>
      </c>
      <c r="D49" s="140">
        <f t="shared" si="23"/>
        <v>0.95181439619274244</v>
      </c>
      <c r="E49" s="140">
        <f t="shared" si="23"/>
        <v>0.97560975609756106</v>
      </c>
      <c r="F49" s="140">
        <f t="shared" si="23"/>
        <v>1</v>
      </c>
      <c r="G49" s="140">
        <f t="shared" si="23"/>
        <v>1.0249999999999999</v>
      </c>
      <c r="H49" s="140">
        <f t="shared" si="23"/>
        <v>1.0506249999999999</v>
      </c>
      <c r="I49" s="140">
        <f t="shared" si="23"/>
        <v>1.0768906249999999</v>
      </c>
      <c r="J49" s="140">
        <f t="shared" si="23"/>
        <v>1.1038128906249998</v>
      </c>
      <c r="K49" s="140">
        <f t="shared" si="23"/>
        <v>1.1314082128906247</v>
      </c>
      <c r="L49" s="140">
        <f t="shared" si="23"/>
        <v>1.1596934182128902</v>
      </c>
      <c r="M49" s="140">
        <f t="shared" si="23"/>
        <v>1.1886857536682125</v>
      </c>
      <c r="N49" s="140">
        <f t="shared" si="23"/>
        <v>1.2184028975099177</v>
      </c>
      <c r="O49" s="140">
        <f t="shared" si="23"/>
        <v>1.2488629699476654</v>
      </c>
      <c r="P49" s="140">
        <f t="shared" si="23"/>
        <v>1.2800845441963571</v>
      </c>
      <c r="Q49" s="140">
        <f t="shared" si="23"/>
        <v>1.312086657801266</v>
      </c>
      <c r="R49" s="140">
        <f t="shared" si="23"/>
        <v>1.3448888242462975</v>
      </c>
      <c r="S49" s="140">
        <f t="shared" si="23"/>
        <v>1.3785110448524549</v>
      </c>
      <c r="T49" s="140">
        <f t="shared" si="23"/>
        <v>1.4129738209737661</v>
      </c>
      <c r="U49" s="140">
        <f t="shared" si="23"/>
        <v>1.4482981664981105</v>
      </c>
      <c r="V49" s="140">
        <f t="shared" si="23"/>
        <v>1.4845056206605631</v>
      </c>
      <c r="W49" s="140">
        <f t="shared" si="23"/>
        <v>1.521618261177077</v>
      </c>
      <c r="X49" s="140">
        <f t="shared" si="23"/>
        <v>1.559658717706504</v>
      </c>
      <c r="Y49" s="140">
        <f t="shared" si="23"/>
        <v>1.5986501856491666</v>
      </c>
      <c r="Z49" s="140">
        <f t="shared" si="23"/>
        <v>1.6386164402903955</v>
      </c>
      <c r="AA49" s="140">
        <f t="shared" si="23"/>
        <v>1.6795818512976552</v>
      </c>
    </row>
    <row r="50" spans="2:27" x14ac:dyDescent="0.25">
      <c r="B50" s="75" t="s">
        <v>98</v>
      </c>
      <c r="C50" s="140">
        <f t="shared" ref="C50:AA50" si="24">(1+Inflation)^(C$2-Forecast_Base_Year)</f>
        <v>0.92859941091974885</v>
      </c>
      <c r="D50" s="140">
        <f t="shared" si="24"/>
        <v>0.95181439619274244</v>
      </c>
      <c r="E50" s="140">
        <f t="shared" si="24"/>
        <v>0.97560975609756106</v>
      </c>
      <c r="F50" s="140">
        <f t="shared" si="24"/>
        <v>1</v>
      </c>
      <c r="G50" s="140">
        <f t="shared" si="24"/>
        <v>1.0249999999999999</v>
      </c>
      <c r="H50" s="140">
        <f t="shared" si="24"/>
        <v>1.0506249999999999</v>
      </c>
      <c r="I50" s="140">
        <f t="shared" si="24"/>
        <v>1.0768906249999999</v>
      </c>
      <c r="J50" s="140">
        <f t="shared" si="24"/>
        <v>1.1038128906249998</v>
      </c>
      <c r="K50" s="140">
        <f t="shared" si="24"/>
        <v>1.1314082128906247</v>
      </c>
      <c r="L50" s="140">
        <f t="shared" si="24"/>
        <v>1.1596934182128902</v>
      </c>
      <c r="M50" s="140">
        <f t="shared" si="24"/>
        <v>1.1886857536682125</v>
      </c>
      <c r="N50" s="140">
        <f t="shared" si="24"/>
        <v>1.2184028975099177</v>
      </c>
      <c r="O50" s="140">
        <f t="shared" si="24"/>
        <v>1.2488629699476654</v>
      </c>
      <c r="P50" s="140">
        <f t="shared" si="24"/>
        <v>1.2800845441963571</v>
      </c>
      <c r="Q50" s="140">
        <f t="shared" si="24"/>
        <v>1.312086657801266</v>
      </c>
      <c r="R50" s="140">
        <f t="shared" si="24"/>
        <v>1.3448888242462975</v>
      </c>
      <c r="S50" s="140">
        <f t="shared" si="24"/>
        <v>1.3785110448524549</v>
      </c>
      <c r="T50" s="140">
        <f t="shared" si="24"/>
        <v>1.4129738209737661</v>
      </c>
      <c r="U50" s="140">
        <f t="shared" si="24"/>
        <v>1.4482981664981105</v>
      </c>
      <c r="V50" s="140">
        <f t="shared" si="24"/>
        <v>1.4845056206605631</v>
      </c>
      <c r="W50" s="140">
        <f t="shared" si="24"/>
        <v>1.521618261177077</v>
      </c>
      <c r="X50" s="140">
        <f t="shared" si="24"/>
        <v>1.559658717706504</v>
      </c>
      <c r="Y50" s="140">
        <f t="shared" si="24"/>
        <v>1.5986501856491666</v>
      </c>
      <c r="Z50" s="140">
        <f t="shared" si="24"/>
        <v>1.6386164402903955</v>
      </c>
      <c r="AA50" s="140">
        <f t="shared" si="24"/>
        <v>1.6795818512976552</v>
      </c>
    </row>
    <row r="52" spans="2:27" x14ac:dyDescent="0.25">
      <c r="B52" s="128" t="s">
        <v>99</v>
      </c>
    </row>
    <row r="53" spans="2:27" x14ac:dyDescent="0.25">
      <c r="B53" s="75" t="s">
        <v>100</v>
      </c>
      <c r="C53" s="141">
        <f>System_Size</f>
        <v>2500</v>
      </c>
    </row>
    <row r="54" spans="2:27" x14ac:dyDescent="0.25">
      <c r="B54" s="75" t="s">
        <v>101</v>
      </c>
      <c r="C54" s="87">
        <f>Zone_Capacity_Factor</f>
        <v>0.18755870172944997</v>
      </c>
    </row>
    <row r="55" spans="2:27" x14ac:dyDescent="0.25">
      <c r="B55" s="75" t="s">
        <v>102</v>
      </c>
      <c r="C55" s="32">
        <f>Degradation</f>
        <v>5.0000000000000001E-3</v>
      </c>
    </row>
    <row r="56" spans="2:27" x14ac:dyDescent="0.25">
      <c r="B56" s="75" t="s">
        <v>103</v>
      </c>
      <c r="C56" s="33">
        <f t="shared" ref="C56:AA56" si="25">1-Degradation*(C$3-1)</f>
        <v>1</v>
      </c>
      <c r="D56" s="33">
        <f t="shared" si="25"/>
        <v>0.995</v>
      </c>
      <c r="E56" s="33">
        <f t="shared" si="25"/>
        <v>0.99</v>
      </c>
      <c r="F56" s="33">
        <f t="shared" si="25"/>
        <v>0.98499999999999999</v>
      </c>
      <c r="G56" s="33">
        <f t="shared" si="25"/>
        <v>0.98</v>
      </c>
      <c r="H56" s="33">
        <f t="shared" si="25"/>
        <v>0.97499999999999998</v>
      </c>
      <c r="I56" s="33">
        <f t="shared" si="25"/>
        <v>0.97</v>
      </c>
      <c r="J56" s="33">
        <f t="shared" si="25"/>
        <v>0.96499999999999997</v>
      </c>
      <c r="K56" s="33">
        <f t="shared" si="25"/>
        <v>0.96</v>
      </c>
      <c r="L56" s="33">
        <f t="shared" si="25"/>
        <v>0.95499999999999996</v>
      </c>
      <c r="M56" s="33">
        <f t="shared" si="25"/>
        <v>0.95</v>
      </c>
      <c r="N56" s="33">
        <f t="shared" si="25"/>
        <v>0.94499999999999995</v>
      </c>
      <c r="O56" s="33">
        <f t="shared" si="25"/>
        <v>0.94</v>
      </c>
      <c r="P56" s="33">
        <f t="shared" si="25"/>
        <v>0.93500000000000005</v>
      </c>
      <c r="Q56" s="33">
        <f t="shared" si="25"/>
        <v>0.92999999999999994</v>
      </c>
      <c r="R56" s="33">
        <f t="shared" si="25"/>
        <v>0.92500000000000004</v>
      </c>
      <c r="S56" s="33">
        <f t="shared" si="25"/>
        <v>0.92</v>
      </c>
      <c r="T56" s="33">
        <f t="shared" si="25"/>
        <v>0.91500000000000004</v>
      </c>
      <c r="U56" s="33">
        <f t="shared" si="25"/>
        <v>0.91</v>
      </c>
      <c r="V56" s="33">
        <f t="shared" si="25"/>
        <v>0.90500000000000003</v>
      </c>
      <c r="W56" s="33">
        <f t="shared" si="25"/>
        <v>0.9</v>
      </c>
      <c r="X56" s="33">
        <f t="shared" si="25"/>
        <v>0.89500000000000002</v>
      </c>
      <c r="Y56" s="33">
        <f t="shared" si="25"/>
        <v>0.89</v>
      </c>
      <c r="Z56" s="33">
        <f t="shared" si="25"/>
        <v>0.88500000000000001</v>
      </c>
      <c r="AA56" s="33">
        <f t="shared" si="25"/>
        <v>0.88</v>
      </c>
    </row>
    <row r="57" spans="2:27" x14ac:dyDescent="0.25">
      <c r="B57" s="75" t="s">
        <v>104</v>
      </c>
      <c r="C57" s="141">
        <f t="shared" ref="C57:AA57" si="26">VLOOKUP(C$2,Days_per_Year,2,FALSE)</f>
        <v>365</v>
      </c>
      <c r="D57" s="141">
        <f t="shared" si="26"/>
        <v>365</v>
      </c>
      <c r="E57" s="141">
        <f t="shared" si="26"/>
        <v>365</v>
      </c>
      <c r="F57" s="141">
        <f t="shared" si="26"/>
        <v>366</v>
      </c>
      <c r="G57" s="141">
        <f t="shared" si="26"/>
        <v>365</v>
      </c>
      <c r="H57" s="141">
        <f t="shared" si="26"/>
        <v>365</v>
      </c>
      <c r="I57" s="141">
        <f t="shared" si="26"/>
        <v>365</v>
      </c>
      <c r="J57" s="141">
        <f t="shared" si="26"/>
        <v>366</v>
      </c>
      <c r="K57" s="141">
        <f t="shared" si="26"/>
        <v>365</v>
      </c>
      <c r="L57" s="141">
        <f t="shared" si="26"/>
        <v>365</v>
      </c>
      <c r="M57" s="141">
        <f t="shared" si="26"/>
        <v>365</v>
      </c>
      <c r="N57" s="141">
        <f t="shared" si="26"/>
        <v>366</v>
      </c>
      <c r="O57" s="141">
        <f t="shared" si="26"/>
        <v>365</v>
      </c>
      <c r="P57" s="141">
        <f t="shared" si="26"/>
        <v>365</v>
      </c>
      <c r="Q57" s="141">
        <f t="shared" si="26"/>
        <v>365</v>
      </c>
      <c r="R57" s="141">
        <f t="shared" si="26"/>
        <v>366</v>
      </c>
      <c r="S57" s="141">
        <f t="shared" si="26"/>
        <v>365</v>
      </c>
      <c r="T57" s="141">
        <f t="shared" si="26"/>
        <v>365</v>
      </c>
      <c r="U57" s="141">
        <f t="shared" si="26"/>
        <v>365</v>
      </c>
      <c r="V57" s="141">
        <f t="shared" si="26"/>
        <v>366</v>
      </c>
      <c r="W57" s="141">
        <f t="shared" si="26"/>
        <v>365</v>
      </c>
      <c r="X57" s="141">
        <f t="shared" si="26"/>
        <v>365</v>
      </c>
      <c r="Y57" s="141">
        <f t="shared" si="26"/>
        <v>365</v>
      </c>
      <c r="Z57" s="141">
        <f t="shared" si="26"/>
        <v>366</v>
      </c>
      <c r="AA57" s="141">
        <f t="shared" si="26"/>
        <v>365</v>
      </c>
    </row>
    <row r="58" spans="2:27" x14ac:dyDescent="0.25">
      <c r="B58" s="75" t="s">
        <v>70</v>
      </c>
      <c r="C58" s="141">
        <f t="shared" ref="C58:AA58" si="27">System_Size*24*C$57*Zone_Capacity_Factor*C$56</f>
        <v>4107535.5678749541</v>
      </c>
      <c r="D58" s="141">
        <f t="shared" si="27"/>
        <v>4086997.8900355794</v>
      </c>
      <c r="E58" s="141">
        <f t="shared" si="27"/>
        <v>4066460.2121962043</v>
      </c>
      <c r="F58" s="141">
        <f t="shared" si="27"/>
        <v>4057007.2536290404</v>
      </c>
      <c r="G58" s="141">
        <f t="shared" si="27"/>
        <v>4025384.8565174551</v>
      </c>
      <c r="H58" s="141">
        <f t="shared" si="27"/>
        <v>4004847.17867808</v>
      </c>
      <c r="I58" s="141">
        <f t="shared" si="27"/>
        <v>3984309.5008387053</v>
      </c>
      <c r="J58" s="141">
        <f t="shared" si="27"/>
        <v>3974631.4718294661</v>
      </c>
      <c r="K58" s="141">
        <f t="shared" si="27"/>
        <v>3943234.1451599556</v>
      </c>
      <c r="L58" s="141">
        <f t="shared" si="27"/>
        <v>3922696.467320581</v>
      </c>
      <c r="M58" s="141">
        <f t="shared" si="27"/>
        <v>3902158.7894812063</v>
      </c>
      <c r="N58" s="141">
        <f t="shared" si="27"/>
        <v>3892255.6900298917</v>
      </c>
      <c r="O58" s="141">
        <f t="shared" si="27"/>
        <v>3861083.4338024566</v>
      </c>
      <c r="P58" s="141">
        <f t="shared" si="27"/>
        <v>3840545.7559630824</v>
      </c>
      <c r="Q58" s="141">
        <f t="shared" si="27"/>
        <v>3820008.0781237069</v>
      </c>
      <c r="R58" s="141">
        <f t="shared" si="27"/>
        <v>3809879.9082303178</v>
      </c>
      <c r="S58" s="141">
        <f t="shared" si="27"/>
        <v>3778932.7224449581</v>
      </c>
      <c r="T58" s="141">
        <f t="shared" si="27"/>
        <v>3758395.044605583</v>
      </c>
      <c r="U58" s="141">
        <f t="shared" si="27"/>
        <v>3737857.3667662083</v>
      </c>
      <c r="V58" s="141">
        <f t="shared" si="27"/>
        <v>3727504.1264307429</v>
      </c>
      <c r="W58" s="141">
        <f t="shared" si="27"/>
        <v>3696782.0110874586</v>
      </c>
      <c r="X58" s="141">
        <f t="shared" si="27"/>
        <v>3676244.3332480839</v>
      </c>
      <c r="Y58" s="141">
        <f t="shared" si="27"/>
        <v>3655706.6554087093</v>
      </c>
      <c r="Z58" s="141">
        <f t="shared" si="27"/>
        <v>3645128.3446311685</v>
      </c>
      <c r="AA58" s="141">
        <f t="shared" si="27"/>
        <v>3614631.2997299596</v>
      </c>
    </row>
    <row r="59" spans="2:27" x14ac:dyDescent="0.25">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row>
    <row r="60" spans="2:27" x14ac:dyDescent="0.25">
      <c r="B60" s="128" t="s">
        <v>105</v>
      </c>
    </row>
    <row r="61" spans="2:27" x14ac:dyDescent="0.25">
      <c r="B61" s="75" t="s">
        <v>106</v>
      </c>
      <c r="C61" s="75">
        <f>Utility_Loss_Adjustment</f>
        <v>1.0840000000000001</v>
      </c>
    </row>
    <row r="62" spans="2:27" x14ac:dyDescent="0.25">
      <c r="B62" s="75" t="s">
        <v>107</v>
      </c>
      <c r="C62" s="87">
        <f>Fraction_of_Credits</f>
        <v>0.92500000000000004</v>
      </c>
    </row>
    <row r="63" spans="2:27" x14ac:dyDescent="0.25">
      <c r="B63" s="75" t="s">
        <v>108</v>
      </c>
      <c r="C63" s="34">
        <f t="shared" ref="C63:AA63" si="28">IF(C$3&lt;=System_Age,0,VLOOKUP(Plant_Type&amp;"-"&amp;NYISO_Zone,Forecast_Energy_VDER,MATCH(C$2,Forecast_Energy_Header,0),FALSE))</f>
        <v>0</v>
      </c>
      <c r="D63" s="34">
        <f t="shared" si="28"/>
        <v>0</v>
      </c>
      <c r="E63" s="34">
        <f t="shared" si="28"/>
        <v>0</v>
      </c>
      <c r="F63" s="34">
        <f t="shared" si="28"/>
        <v>0</v>
      </c>
      <c r="G63" s="34">
        <f t="shared" si="28"/>
        <v>45.024428359179041</v>
      </c>
      <c r="H63" s="34">
        <f t="shared" si="28"/>
        <v>47.891115521433569</v>
      </c>
      <c r="I63" s="34">
        <f t="shared" si="28"/>
        <v>43.454736139307101</v>
      </c>
      <c r="J63" s="34">
        <f t="shared" si="28"/>
        <v>40.768595369479478</v>
      </c>
      <c r="K63" s="34">
        <f t="shared" si="28"/>
        <v>37.860426038917488</v>
      </c>
      <c r="L63" s="34">
        <f t="shared" si="28"/>
        <v>39.365235056682501</v>
      </c>
      <c r="M63" s="34">
        <f t="shared" si="28"/>
        <v>38.043231180409244</v>
      </c>
      <c r="N63" s="34">
        <f t="shared" si="28"/>
        <v>36.651440754692416</v>
      </c>
      <c r="O63" s="34">
        <f t="shared" si="28"/>
        <v>33.739838797355922</v>
      </c>
      <c r="P63" s="34">
        <f t="shared" si="28"/>
        <v>31.588068293759477</v>
      </c>
      <c r="Q63" s="34">
        <f t="shared" si="28"/>
        <v>30.959704228573333</v>
      </c>
      <c r="R63" s="34">
        <f>IF(R$3&lt;=System_Age,0,VLOOKUP(Plant_Type&amp;"-"&amp;NYISO_Zone,Forecast_Energy_VDER,MATCH(R$2,Forecast_Energy_Header,0),FALSE))</f>
        <v>29.812913649428086</v>
      </c>
      <c r="S63" s="34">
        <f t="shared" si="28"/>
        <v>29.598364954556168</v>
      </c>
      <c r="T63" s="34">
        <f t="shared" si="28"/>
        <v>28.061237824383525</v>
      </c>
      <c r="U63" s="34">
        <f t="shared" si="28"/>
        <v>26.886633798977812</v>
      </c>
      <c r="V63" s="34">
        <f t="shared" si="28"/>
        <v>25.89726335171104</v>
      </c>
      <c r="W63" s="34">
        <f t="shared" si="28"/>
        <v>24.675910348461279</v>
      </c>
      <c r="X63" s="34">
        <f t="shared" si="28"/>
        <v>24.442921691433195</v>
      </c>
      <c r="Y63" s="34">
        <f t="shared" si="28"/>
        <v>23.528205894619884</v>
      </c>
      <c r="Z63" s="34">
        <f t="shared" si="28"/>
        <v>23.279056860391769</v>
      </c>
      <c r="AA63" s="34">
        <f t="shared" si="28"/>
        <v>22.563726762466075</v>
      </c>
    </row>
    <row r="64" spans="2:27" x14ac:dyDescent="0.25">
      <c r="B64" s="75" t="s">
        <v>109</v>
      </c>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row>
    <row r="65" spans="2:27" x14ac:dyDescent="0.25">
      <c r="B65" s="143" t="s">
        <v>110</v>
      </c>
      <c r="C65" s="144">
        <f t="shared" ref="C65:AA65" si="29">(C$58/1000)*Fraction_of_Credits*Utility_Loss_Adjustment*C$63*C$50</f>
        <v>0</v>
      </c>
      <c r="D65" s="144">
        <f t="shared" si="29"/>
        <v>0</v>
      </c>
      <c r="E65" s="144">
        <f t="shared" si="29"/>
        <v>0</v>
      </c>
      <c r="F65" s="144">
        <f t="shared" si="29"/>
        <v>0</v>
      </c>
      <c r="G65" s="144">
        <f t="shared" si="29"/>
        <v>186273.25189731436</v>
      </c>
      <c r="H65" s="144">
        <f t="shared" si="29"/>
        <v>202050.36871263178</v>
      </c>
      <c r="I65" s="144">
        <f t="shared" si="29"/>
        <v>186953.15357036717</v>
      </c>
      <c r="J65" s="144">
        <f t="shared" si="29"/>
        <v>179344.9251727341</v>
      </c>
      <c r="K65" s="144">
        <f t="shared" si="29"/>
        <v>169366.84770579083</v>
      </c>
      <c r="L65" s="144">
        <f t="shared" si="29"/>
        <v>179560.89468625441</v>
      </c>
      <c r="M65" s="144">
        <f t="shared" si="29"/>
        <v>176937.71202164661</v>
      </c>
      <c r="N65" s="144">
        <f t="shared" si="29"/>
        <v>174282.72893831931</v>
      </c>
      <c r="O65" s="144">
        <f t="shared" si="29"/>
        <v>163131.5614314008</v>
      </c>
      <c r="P65" s="144">
        <f t="shared" si="29"/>
        <v>155713.28998412943</v>
      </c>
      <c r="Q65" s="144">
        <f t="shared" si="29"/>
        <v>155594.63515092214</v>
      </c>
      <c r="R65" s="144">
        <f t="shared" si="29"/>
        <v>153169.78694582215</v>
      </c>
      <c r="S65" s="144">
        <f t="shared" si="29"/>
        <v>154603.08152655879</v>
      </c>
      <c r="T65" s="144">
        <f t="shared" si="29"/>
        <v>149421.94380068386</v>
      </c>
      <c r="U65" s="144">
        <f t="shared" si="29"/>
        <v>145944.64112064167</v>
      </c>
      <c r="V65" s="144">
        <f t="shared" si="29"/>
        <v>143689.44499257693</v>
      </c>
      <c r="W65" s="144">
        <f t="shared" si="29"/>
        <v>139179.01305673245</v>
      </c>
      <c r="X65" s="144">
        <f t="shared" si="29"/>
        <v>140526.45041611505</v>
      </c>
      <c r="Y65" s="144">
        <f t="shared" si="29"/>
        <v>137874.70899280414</v>
      </c>
      <c r="Z65" s="144">
        <f t="shared" si="29"/>
        <v>139420.46544852701</v>
      </c>
      <c r="AA65" s="144">
        <f t="shared" si="29"/>
        <v>137355.80706047209</v>
      </c>
    </row>
    <row r="66" spans="2:27" x14ac:dyDescent="0.25">
      <c r="B66" s="143" t="str">
        <f>"Real "&amp;TEXT(Cash_Flow_Base_Year,"0000")&amp;" $"</f>
        <v>Real 2024 $</v>
      </c>
      <c r="C66" s="144">
        <f>C$65*C$47</f>
        <v>0</v>
      </c>
      <c r="D66" s="144">
        <f t="shared" ref="D66:AA66" si="30">D$65*D$47</f>
        <v>0</v>
      </c>
      <c r="E66" s="144">
        <f t="shared" si="30"/>
        <v>0</v>
      </c>
      <c r="F66" s="144">
        <f t="shared" si="30"/>
        <v>0</v>
      </c>
      <c r="G66" s="144">
        <f t="shared" si="30"/>
        <v>181730.00185103843</v>
      </c>
      <c r="H66" s="144">
        <f t="shared" si="30"/>
        <v>192314.44969673461</v>
      </c>
      <c r="I66" s="144">
        <f t="shared" si="30"/>
        <v>173604.58827503229</v>
      </c>
      <c r="J66" s="144">
        <f t="shared" si="30"/>
        <v>162477.65060180228</v>
      </c>
      <c r="K66" s="144">
        <f t="shared" si="30"/>
        <v>149695.61452367133</v>
      </c>
      <c r="L66" s="144">
        <f t="shared" si="30"/>
        <v>154834.79673702139</v>
      </c>
      <c r="M66" s="144">
        <f t="shared" si="30"/>
        <v>148851.54589901285</v>
      </c>
      <c r="N66" s="144">
        <f t="shared" si="30"/>
        <v>143041.9521280732</v>
      </c>
      <c r="O66" s="144">
        <f t="shared" si="30"/>
        <v>130624.06793776339</v>
      </c>
      <c r="P66" s="144">
        <f t="shared" si="30"/>
        <v>121642.97326305657</v>
      </c>
      <c r="Q66" s="144">
        <f t="shared" si="30"/>
        <v>118585.63931414441</v>
      </c>
      <c r="R66" s="144">
        <f t="shared" si="30"/>
        <v>113890.29649470212</v>
      </c>
      <c r="S66" s="144">
        <f t="shared" si="30"/>
        <v>112152.22547825599</v>
      </c>
      <c r="T66" s="144">
        <f t="shared" si="30"/>
        <v>105749.97327106041</v>
      </c>
      <c r="U66" s="144">
        <f t="shared" si="30"/>
        <v>100769.7478990298</v>
      </c>
      <c r="V66" s="144">
        <f t="shared" si="30"/>
        <v>96792.792827984827</v>
      </c>
      <c r="W66" s="144">
        <f t="shared" si="30"/>
        <v>91467.759429403697</v>
      </c>
      <c r="X66" s="144">
        <f t="shared" si="30"/>
        <v>90100.769367519591</v>
      </c>
      <c r="Y66" s="144">
        <f t="shared" si="30"/>
        <v>86244.451869761062</v>
      </c>
      <c r="Z66" s="144">
        <f t="shared" si="30"/>
        <v>85084.258903089561</v>
      </c>
      <c r="AA66" s="144">
        <f t="shared" si="30"/>
        <v>81779.763787248681</v>
      </c>
    </row>
    <row r="68" spans="2:27" x14ac:dyDescent="0.25">
      <c r="B68" s="128" t="s">
        <v>111</v>
      </c>
    </row>
    <row r="69" spans="2:27" x14ac:dyDescent="0.25">
      <c r="B69" s="75" t="s">
        <v>107</v>
      </c>
      <c r="C69" s="87">
        <f>Fraction_of_Credits</f>
        <v>0.92500000000000004</v>
      </c>
    </row>
    <row r="70" spans="2:27" x14ac:dyDescent="0.25">
      <c r="B70" s="75" t="s">
        <v>100</v>
      </c>
      <c r="C70" s="141">
        <f>System_Size</f>
        <v>2500</v>
      </c>
      <c r="D70" s="145" t="s">
        <v>112</v>
      </c>
    </row>
    <row r="71" spans="2:27" x14ac:dyDescent="0.25">
      <c r="B71" s="75" t="s">
        <v>103</v>
      </c>
      <c r="C71" s="146">
        <f t="shared" ref="C71:AA71" si="31">1-Degradation*(C$3-1)</f>
        <v>1</v>
      </c>
      <c r="D71" s="146">
        <f t="shared" si="31"/>
        <v>0.995</v>
      </c>
      <c r="E71" s="146">
        <f t="shared" si="31"/>
        <v>0.99</v>
      </c>
      <c r="F71" s="146">
        <f t="shared" si="31"/>
        <v>0.98499999999999999</v>
      </c>
      <c r="G71" s="146">
        <f t="shared" si="31"/>
        <v>0.98</v>
      </c>
      <c r="H71" s="146">
        <f t="shared" si="31"/>
        <v>0.97499999999999998</v>
      </c>
      <c r="I71" s="146">
        <f t="shared" si="31"/>
        <v>0.97</v>
      </c>
      <c r="J71" s="146">
        <f t="shared" si="31"/>
        <v>0.96499999999999997</v>
      </c>
      <c r="K71" s="146">
        <f t="shared" si="31"/>
        <v>0.96</v>
      </c>
      <c r="L71" s="146">
        <f t="shared" si="31"/>
        <v>0.95499999999999996</v>
      </c>
      <c r="M71" s="146">
        <f t="shared" si="31"/>
        <v>0.95</v>
      </c>
      <c r="N71" s="146">
        <f t="shared" si="31"/>
        <v>0.94499999999999995</v>
      </c>
      <c r="O71" s="146">
        <f t="shared" si="31"/>
        <v>0.94</v>
      </c>
      <c r="P71" s="146">
        <f t="shared" si="31"/>
        <v>0.93500000000000005</v>
      </c>
      <c r="Q71" s="146">
        <f t="shared" si="31"/>
        <v>0.92999999999999994</v>
      </c>
      <c r="R71" s="146">
        <f t="shared" si="31"/>
        <v>0.92500000000000004</v>
      </c>
      <c r="S71" s="146">
        <f t="shared" si="31"/>
        <v>0.92</v>
      </c>
      <c r="T71" s="146">
        <f t="shared" si="31"/>
        <v>0.91500000000000004</v>
      </c>
      <c r="U71" s="146">
        <f t="shared" si="31"/>
        <v>0.91</v>
      </c>
      <c r="V71" s="146">
        <f t="shared" si="31"/>
        <v>0.90500000000000003</v>
      </c>
      <c r="W71" s="146">
        <f t="shared" si="31"/>
        <v>0.9</v>
      </c>
      <c r="X71" s="146">
        <f t="shared" si="31"/>
        <v>0.89500000000000002</v>
      </c>
      <c r="Y71" s="146">
        <f t="shared" si="31"/>
        <v>0.89</v>
      </c>
      <c r="Z71" s="146">
        <f t="shared" si="31"/>
        <v>0.88500000000000001</v>
      </c>
      <c r="AA71" s="146">
        <f t="shared" si="31"/>
        <v>0.88</v>
      </c>
    </row>
    <row r="72" spans="2:27" x14ac:dyDescent="0.25">
      <c r="B72" s="75" t="s">
        <v>113</v>
      </c>
      <c r="C72" s="34">
        <f t="shared" ref="C72:AA72" si="32">IF((C$3&lt;=System_Age),0,VLOOKUP(Plant_Type&amp;"-"&amp;NYISO_Zone,Forecast_ICAP,MATCH(C$2,Forecast_ICAP_Header,0),FALSE))</f>
        <v>0</v>
      </c>
      <c r="D72" s="34">
        <f t="shared" si="32"/>
        <v>0</v>
      </c>
      <c r="E72" s="34">
        <f t="shared" si="32"/>
        <v>0</v>
      </c>
      <c r="F72" s="34">
        <f t="shared" si="32"/>
        <v>0</v>
      </c>
      <c r="G72" s="34">
        <f t="shared" si="32"/>
        <v>2.4528561751814628</v>
      </c>
      <c r="H72" s="34">
        <f t="shared" si="32"/>
        <v>2.6821445405409188</v>
      </c>
      <c r="I72" s="34">
        <f t="shared" si="32"/>
        <v>2.7827208125665677</v>
      </c>
      <c r="J72" s="34">
        <f t="shared" si="32"/>
        <v>3.193821162021838</v>
      </c>
      <c r="K72" s="34">
        <f t="shared" si="32"/>
        <v>3.1981530151961932</v>
      </c>
      <c r="L72" s="34">
        <f t="shared" si="32"/>
        <v>3.2566082351971271</v>
      </c>
      <c r="M72" s="34">
        <f t="shared" si="32"/>
        <v>3.287964796497838</v>
      </c>
      <c r="N72" s="34">
        <f t="shared" si="32"/>
        <v>3.4115197284275873</v>
      </c>
      <c r="O72" s="34">
        <f t="shared" si="32"/>
        <v>3.6816781864307315</v>
      </c>
      <c r="P72" s="34">
        <f t="shared" si="32"/>
        <v>4.2064134926071306</v>
      </c>
      <c r="Q72" s="34">
        <f t="shared" si="32"/>
        <v>5.5069583329843477</v>
      </c>
      <c r="R72" s="34">
        <f t="shared" si="32"/>
        <v>5.9831861805760793</v>
      </c>
      <c r="S72" s="34">
        <f t="shared" si="32"/>
        <v>5.8762837552432492</v>
      </c>
      <c r="T72" s="34">
        <f t="shared" si="32"/>
        <v>6.1720866009289175</v>
      </c>
      <c r="U72" s="34">
        <f t="shared" si="32"/>
        <v>6.471827181103591</v>
      </c>
      <c r="V72" s="34">
        <f t="shared" si="32"/>
        <v>6.7138908781910231</v>
      </c>
      <c r="W72" s="34">
        <f t="shared" si="32"/>
        <v>6.9573263522296322</v>
      </c>
      <c r="X72" s="34">
        <f t="shared" si="32"/>
        <v>7.0128453638053792</v>
      </c>
      <c r="Y72" s="34">
        <f t="shared" si="32"/>
        <v>7.5865631776952691</v>
      </c>
      <c r="Z72" s="34">
        <f t="shared" si="32"/>
        <v>8.2550930829357902</v>
      </c>
      <c r="AA72" s="34">
        <f t="shared" si="32"/>
        <v>8.455956561374915</v>
      </c>
    </row>
    <row r="73" spans="2:27" x14ac:dyDescent="0.25">
      <c r="B73" s="75" t="s">
        <v>114</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2:27" x14ac:dyDescent="0.25">
      <c r="B74" s="143" t="s">
        <v>110</v>
      </c>
      <c r="C74" s="144">
        <f t="shared" ref="C74:AA74" si="33">System_Size*C$71*Fraction_of_Credits*C$72*C$50</f>
        <v>0</v>
      </c>
      <c r="D74" s="144">
        <f>System_Size*D$71*Fraction_of_Credits*D$72*D$50</f>
        <v>0</v>
      </c>
      <c r="E74" s="144">
        <f>System_Size*E$71*Fraction_of_Credits*E$72*E$50</f>
        <v>0</v>
      </c>
      <c r="F74" s="144">
        <f t="shared" si="33"/>
        <v>0</v>
      </c>
      <c r="G74" s="144">
        <f t="shared" si="33"/>
        <v>5697.7549396801151</v>
      </c>
      <c r="H74" s="144">
        <f t="shared" si="33"/>
        <v>6353.547280793865</v>
      </c>
      <c r="I74" s="144">
        <f t="shared" si="33"/>
        <v>6721.9411829110304</v>
      </c>
      <c r="J74" s="144">
        <f t="shared" si="33"/>
        <v>7867.1079686131325</v>
      </c>
      <c r="K74" s="144">
        <f t="shared" si="33"/>
        <v>8032.8848241920305</v>
      </c>
      <c r="L74" s="144">
        <f t="shared" si="33"/>
        <v>8340.5333282836818</v>
      </c>
      <c r="M74" s="144">
        <f t="shared" si="33"/>
        <v>8586.1715914005854</v>
      </c>
      <c r="N74" s="144">
        <f t="shared" si="33"/>
        <v>9083.4820048577312</v>
      </c>
      <c r="O74" s="144">
        <f t="shared" si="33"/>
        <v>9994.7102411540127</v>
      </c>
      <c r="P74" s="144">
        <f t="shared" si="33"/>
        <v>11642.438916227693</v>
      </c>
      <c r="Q74" s="144">
        <f t="shared" si="33"/>
        <v>15539.570094715078</v>
      </c>
      <c r="R74" s="144">
        <f t="shared" si="33"/>
        <v>17212.437486939736</v>
      </c>
      <c r="S74" s="144">
        <f t="shared" si="33"/>
        <v>17233.86068113922</v>
      </c>
      <c r="T74" s="144">
        <f t="shared" si="33"/>
        <v>18453.084140887669</v>
      </c>
      <c r="U74" s="144">
        <f t="shared" si="33"/>
        <v>19724.591892149678</v>
      </c>
      <c r="V74" s="144">
        <f t="shared" si="33"/>
        <v>20858.661927014189</v>
      </c>
      <c r="W74" s="144">
        <f t="shared" si="33"/>
        <v>22032.934232697058</v>
      </c>
      <c r="X74" s="144">
        <f t="shared" si="33"/>
        <v>22637.507979514594</v>
      </c>
      <c r="Y74" s="144">
        <f t="shared" si="33"/>
        <v>24961.476414185181</v>
      </c>
      <c r="Z74" s="144">
        <f t="shared" si="33"/>
        <v>27683.710219599754</v>
      </c>
      <c r="AA74" s="144">
        <f t="shared" si="33"/>
        <v>28902.0288428479</v>
      </c>
    </row>
    <row r="75" spans="2:27" x14ac:dyDescent="0.25">
      <c r="B75" s="143" t="str">
        <f>"Real "&amp;TEXT(Cash_Flow_Base_Year,"0000")&amp;" $"</f>
        <v>Real 2024 $</v>
      </c>
      <c r="C75" s="144">
        <f>C$74*C$47</f>
        <v>0</v>
      </c>
      <c r="D75" s="144">
        <f t="shared" ref="D75:AA75" si="34">D$74*D$47</f>
        <v>0</v>
      </c>
      <c r="E75" s="144">
        <f>E$74*E$47</f>
        <v>0</v>
      </c>
      <c r="F75" s="144">
        <f t="shared" si="34"/>
        <v>0</v>
      </c>
      <c r="G75" s="144">
        <f t="shared" si="34"/>
        <v>5558.7853070049905</v>
      </c>
      <c r="H75" s="144">
        <f t="shared" si="34"/>
        <v>6047.3977687508532</v>
      </c>
      <c r="I75" s="144">
        <f t="shared" si="34"/>
        <v>6241.9906226883822</v>
      </c>
      <c r="J75" s="144">
        <f t="shared" si="34"/>
        <v>7127.2115368743589</v>
      </c>
      <c r="K75" s="144">
        <f t="shared" si="34"/>
        <v>7099.8996937355487</v>
      </c>
      <c r="L75" s="144">
        <f t="shared" si="34"/>
        <v>7192.0157494181549</v>
      </c>
      <c r="M75" s="144">
        <f t="shared" si="34"/>
        <v>7223.2476623061884</v>
      </c>
      <c r="N75" s="144">
        <f t="shared" si="34"/>
        <v>7455.236706529412</v>
      </c>
      <c r="O75" s="144">
        <f t="shared" si="34"/>
        <v>8003.0479577538035</v>
      </c>
      <c r="P75" s="144">
        <f t="shared" si="34"/>
        <v>9095.0546735464795</v>
      </c>
      <c r="Q75" s="144">
        <f t="shared" si="34"/>
        <v>11843.402264874463</v>
      </c>
      <c r="R75" s="144">
        <f t="shared" si="34"/>
        <v>12798.40918938852</v>
      </c>
      <c r="S75" s="144">
        <f t="shared" si="34"/>
        <v>12501.793689280015</v>
      </c>
      <c r="T75" s="144">
        <f t="shared" si="34"/>
        <v>13059.749492153031</v>
      </c>
      <c r="U75" s="144">
        <f t="shared" si="34"/>
        <v>13619.151324234872</v>
      </c>
      <c r="V75" s="144">
        <f t="shared" si="34"/>
        <v>14050.914753514151</v>
      </c>
      <c r="W75" s="144">
        <f t="shared" si="34"/>
        <v>14479.935470577922</v>
      </c>
      <c r="X75" s="144">
        <f t="shared" si="34"/>
        <v>14514.398388900943</v>
      </c>
      <c r="Y75" s="144">
        <f t="shared" si="34"/>
        <v>15614.095340094076</v>
      </c>
      <c r="Z75" s="144">
        <f t="shared" si="34"/>
        <v>16894.563937545779</v>
      </c>
      <c r="AA75" s="144">
        <f t="shared" si="34"/>
        <v>17207.87160239795</v>
      </c>
    </row>
    <row r="77" spans="2:27" x14ac:dyDescent="0.25">
      <c r="B77" s="128" t="s">
        <v>115</v>
      </c>
    </row>
    <row r="78" spans="2:27" x14ac:dyDescent="0.25">
      <c r="B78" s="75" t="s">
        <v>107</v>
      </c>
      <c r="C78" s="87">
        <f>Fraction_of_Credits</f>
        <v>0.92500000000000004</v>
      </c>
    </row>
    <row r="79" spans="2:27" x14ac:dyDescent="0.25">
      <c r="B79" s="75" t="s">
        <v>100</v>
      </c>
      <c r="C79" s="141">
        <f>System_Size</f>
        <v>2500</v>
      </c>
    </row>
    <row r="80" spans="2:27" x14ac:dyDescent="0.25">
      <c r="B80" s="75" t="s">
        <v>116</v>
      </c>
      <c r="C80" s="147" t="str">
        <f>VDER_Utility_Name</f>
        <v>National Grid</v>
      </c>
    </row>
    <row r="81" spans="2:27" x14ac:dyDescent="0.25">
      <c r="B81" s="75" t="s">
        <v>117</v>
      </c>
      <c r="C81" s="35">
        <f>DRV_Rate</f>
        <v>0.21</v>
      </c>
    </row>
    <row r="82" spans="2:27" x14ac:dyDescent="0.25">
      <c r="B82" s="75" t="s">
        <v>118</v>
      </c>
      <c r="C82" s="148">
        <f>DRV_Renewal_Rate</f>
        <v>0.5</v>
      </c>
    </row>
    <row r="83" spans="2:27" x14ac:dyDescent="0.25">
      <c r="B83" s="75" t="s">
        <v>119</v>
      </c>
      <c r="C83" s="36">
        <f>C$3</f>
        <v>1</v>
      </c>
      <c r="D83" s="36">
        <f t="shared" ref="D83:AA83" si="35">D$3</f>
        <v>2</v>
      </c>
      <c r="E83" s="36">
        <f t="shared" si="35"/>
        <v>3</v>
      </c>
      <c r="F83" s="36">
        <f t="shared" si="35"/>
        <v>4</v>
      </c>
      <c r="G83" s="36">
        <f t="shared" si="35"/>
        <v>5</v>
      </c>
      <c r="H83" s="36">
        <f t="shared" si="35"/>
        <v>6</v>
      </c>
      <c r="I83" s="36">
        <f t="shared" si="35"/>
        <v>7</v>
      </c>
      <c r="J83" s="36">
        <f t="shared" si="35"/>
        <v>8</v>
      </c>
      <c r="K83" s="36">
        <f t="shared" si="35"/>
        <v>9</v>
      </c>
      <c r="L83" s="36">
        <f t="shared" si="35"/>
        <v>10</v>
      </c>
      <c r="M83" s="36">
        <f t="shared" si="35"/>
        <v>11</v>
      </c>
      <c r="N83" s="36">
        <f t="shared" si="35"/>
        <v>12</v>
      </c>
      <c r="O83" s="36">
        <f t="shared" si="35"/>
        <v>13</v>
      </c>
      <c r="P83" s="36">
        <f t="shared" si="35"/>
        <v>14</v>
      </c>
      <c r="Q83" s="36">
        <f t="shared" si="35"/>
        <v>15</v>
      </c>
      <c r="R83" s="36">
        <f t="shared" si="35"/>
        <v>16</v>
      </c>
      <c r="S83" s="36">
        <f t="shared" si="35"/>
        <v>17</v>
      </c>
      <c r="T83" s="36">
        <f t="shared" si="35"/>
        <v>18</v>
      </c>
      <c r="U83" s="36">
        <f t="shared" si="35"/>
        <v>19</v>
      </c>
      <c r="V83" s="36">
        <f t="shared" si="35"/>
        <v>20</v>
      </c>
      <c r="W83" s="36">
        <f t="shared" si="35"/>
        <v>21</v>
      </c>
      <c r="X83" s="36">
        <f t="shared" si="35"/>
        <v>22</v>
      </c>
      <c r="Y83" s="36">
        <f t="shared" si="35"/>
        <v>23</v>
      </c>
      <c r="Z83" s="36">
        <f t="shared" si="35"/>
        <v>24</v>
      </c>
      <c r="AA83" s="36">
        <f t="shared" si="35"/>
        <v>25</v>
      </c>
    </row>
    <row r="84" spans="2:27" x14ac:dyDescent="0.25">
      <c r="B84" s="75" t="s">
        <v>103</v>
      </c>
      <c r="C84" s="146">
        <f t="shared" ref="C84:AA84" si="36">1-Degradation*(C$3-1)</f>
        <v>1</v>
      </c>
      <c r="D84" s="146">
        <f t="shared" si="36"/>
        <v>0.995</v>
      </c>
      <c r="E84" s="146">
        <f t="shared" si="36"/>
        <v>0.99</v>
      </c>
      <c r="F84" s="146">
        <f t="shared" si="36"/>
        <v>0.98499999999999999</v>
      </c>
      <c r="G84" s="146">
        <f t="shared" si="36"/>
        <v>0.98</v>
      </c>
      <c r="H84" s="146">
        <f t="shared" si="36"/>
        <v>0.97499999999999998</v>
      </c>
      <c r="I84" s="146">
        <f t="shared" si="36"/>
        <v>0.97</v>
      </c>
      <c r="J84" s="146">
        <f t="shared" si="36"/>
        <v>0.96499999999999997</v>
      </c>
      <c r="K84" s="146">
        <f t="shared" si="36"/>
        <v>0.96</v>
      </c>
      <c r="L84" s="146">
        <f t="shared" si="36"/>
        <v>0.95499999999999996</v>
      </c>
      <c r="M84" s="146">
        <f t="shared" si="36"/>
        <v>0.95</v>
      </c>
      <c r="N84" s="146">
        <f t="shared" si="36"/>
        <v>0.94499999999999995</v>
      </c>
      <c r="O84" s="146">
        <f t="shared" si="36"/>
        <v>0.94</v>
      </c>
      <c r="P84" s="146">
        <f t="shared" si="36"/>
        <v>0.93500000000000005</v>
      </c>
      <c r="Q84" s="146">
        <f t="shared" si="36"/>
        <v>0.92999999999999994</v>
      </c>
      <c r="R84" s="146">
        <f t="shared" si="36"/>
        <v>0.92500000000000004</v>
      </c>
      <c r="S84" s="146">
        <f t="shared" si="36"/>
        <v>0.92</v>
      </c>
      <c r="T84" s="146">
        <f t="shared" si="36"/>
        <v>0.91500000000000004</v>
      </c>
      <c r="U84" s="146">
        <f t="shared" si="36"/>
        <v>0.91</v>
      </c>
      <c r="V84" s="146">
        <f t="shared" si="36"/>
        <v>0.90500000000000003</v>
      </c>
      <c r="W84" s="146">
        <f t="shared" si="36"/>
        <v>0.9</v>
      </c>
      <c r="X84" s="146">
        <f t="shared" si="36"/>
        <v>0.89500000000000002</v>
      </c>
      <c r="Y84" s="146">
        <f t="shared" si="36"/>
        <v>0.89</v>
      </c>
      <c r="Z84" s="146">
        <f t="shared" si="36"/>
        <v>0.88500000000000001</v>
      </c>
      <c r="AA84" s="146">
        <f t="shared" si="36"/>
        <v>0.88</v>
      </c>
    </row>
    <row r="85" spans="2:27" x14ac:dyDescent="0.25">
      <c r="B85" s="75" t="s">
        <v>120</v>
      </c>
      <c r="C85" s="36">
        <f>IF(ValGroup&lt;&gt;5,IF(C$3&lt;=System_Age,0,IF(C$2&lt;'2025_Forecasts'!$F$93,0,VLOOKUP(IF(LEFT(VDER_Utility_Name,5)="ConEd",VDER_Utility_Name,"Default")&amp;"-"&amp;Plant_Type&amp;"-"&amp;NYISO_Zone,DRV_Factors,MATCH(C$2,Forecast_Energy_Header,0),FALSE))),0)</f>
        <v>0</v>
      </c>
      <c r="D85" s="36">
        <f>IF(ValGroup&lt;&gt;5,IF(D$3&lt;=System_Age,0,IF(D$2&lt;'2025_Forecasts'!$F$93,0,VLOOKUP(IF(LEFT(VDER_Utility_Name,5)="ConEd",VDER_Utility_Name,"Default")&amp;"-"&amp;Plant_Type&amp;"-"&amp;NYISO_Zone,DRV_Factors,MATCH(D$2,Forecast_Energy_Header,0),FALSE))),0)</f>
        <v>0</v>
      </c>
      <c r="E85" s="36">
        <f>IF(ValGroup&lt;&gt;5,IF(E$3&lt;=System_Age,0,IF(E$2&lt;'2025_Forecasts'!$F$93,0,VLOOKUP(IF(LEFT(VDER_Utility_Name,5)="ConEd",VDER_Utility_Name,"Default")&amp;"-"&amp;Plant_Type&amp;"-"&amp;NYISO_Zone,DRV_Factors,MATCH(E$2,Forecast_Energy_Header,0),FALSE))),0)</f>
        <v>0</v>
      </c>
      <c r="F85" s="36">
        <f>IF(ValGroup&lt;&gt;5,IF(F$3&lt;=System_Age,0,IF(F$2&lt;'2025_Forecasts'!$F$93,0,VLOOKUP(IF(LEFT(VDER_Utility_Name,5)="ConEd",VDER_Utility_Name,"Default")&amp;"-"&amp;Plant_Type&amp;"-"&amp;NYISO_Zone,DRV_Factors,MATCH(F$2,Forecast_Energy_Header,0),FALSE))),0)</f>
        <v>0</v>
      </c>
      <c r="G85" s="36">
        <f>IF(ValGroup&lt;&gt;5,IF(G$3&lt;=System_Age,0,IF(G$2&lt;'2025_Forecasts'!$F$93,0,VLOOKUP(IF(LEFT(VDER_Utility_Name,5)="ConEd",VDER_Utility_Name,"Default")&amp;"-"&amp;Plant_Type&amp;"-"&amp;NYISO_Zone,DRV_Factors,MATCH(G$2,Forecast_Energy_Header,0),FALSE))),0)</f>
        <v>138.55977880470041</v>
      </c>
      <c r="H85" s="36">
        <f>IF(ValGroup&lt;&gt;5,IF(H$3&lt;=System_Age,0,IF(H$2&lt;'2025_Forecasts'!$F$93,0,VLOOKUP(IF(LEFT(VDER_Utility_Name,5)="ConEd",VDER_Utility_Name,"Default")&amp;"-"&amp;Plant_Type&amp;"-"&amp;NYISO_Zone,DRV_Factors,MATCH(H$2,Forecast_Energy_Header,0),FALSE))),0)</f>
        <v>141.17135012676042</v>
      </c>
      <c r="I85" s="36">
        <f>IF(ValGroup&lt;&gt;5,IF(I$3&lt;=System_Age,0,IF(I$2&lt;'2025_Forecasts'!$F$93,0,VLOOKUP(IF(LEFT(VDER_Utility_Name,5)="ConEd",VDER_Utility_Name,"Default")&amp;"-"&amp;Plant_Type&amp;"-"&amp;NYISO_Zone,DRV_Factors,MATCH(I$2,Forecast_Energy_Header,0),FALSE))),0)</f>
        <v>140.94990062838042</v>
      </c>
      <c r="J85" s="36">
        <f>IF(ValGroup&lt;&gt;5,IF(J$3&lt;=System_Age,0,IF(J$2&lt;'2025_Forecasts'!$F$93,0,VLOOKUP(IF(LEFT(VDER_Utility_Name,5)="ConEd",VDER_Utility_Name,"Default")&amp;"-"&amp;Plant_Type&amp;"-"&amp;NYISO_Zone,DRV_Factors,MATCH(J$2,Forecast_Energy_Header,0),FALSE))),0)</f>
        <v>138.11687980794045</v>
      </c>
      <c r="K85" s="36">
        <f>IF(ValGroup&lt;&gt;5,IF(K$3&lt;=System_Age,0,IF(K$2&lt;'2025_Forecasts'!$F$93,0,VLOOKUP(IF(LEFT(VDER_Utility_Name,5)="ConEd",VDER_Utility_Name,"Default")&amp;"-"&amp;Plant_Type&amp;"-"&amp;NYISO_Zone,DRV_Factors,MATCH(K$2,Forecast_Energy_Header,0),FALSE))),0)</f>
        <v>138.83580408492043</v>
      </c>
      <c r="L85" s="36">
        <f>IF(ValGroup&lt;&gt;5,IF(L$3&lt;=System_Age,0,IF(L$2&lt;'2025_Forecasts'!$F$93,0,VLOOKUP(IF(LEFT(VDER_Utility_Name,5)="ConEd",VDER_Utility_Name,"Default")&amp;"-"&amp;Plant_Type&amp;"-"&amp;NYISO_Zone,DRV_Factors,MATCH(L$2,Forecast_Energy_Header,0),FALSE))),0)</f>
        <v>139.05725358330042</v>
      </c>
      <c r="M85" s="36">
        <f>IF(ValGroup&lt;&gt;5,IF(M$3&lt;=System_Age,0,IF(M$2&lt;'2025_Forecasts'!$F$93,0,VLOOKUP(IF(LEFT(VDER_Utility_Name,5)="ConEd",VDER_Utility_Name,"Default")&amp;"-"&amp;Plant_Type&amp;"-"&amp;NYISO_Zone,DRV_Factors,MATCH(M$2,Forecast_Energy_Header,0),FALSE))),0)</f>
        <v>138.55977880470041</v>
      </c>
      <c r="N85" s="36">
        <f>IF(ValGroup&lt;&gt;5,IF(N$3&lt;=System_Age,0,IF(N$2&lt;'2025_Forecasts'!$F$93,0,VLOOKUP(IF(LEFT(VDER_Utility_Name,5)="ConEd",VDER_Utility_Name,"Default")&amp;"-"&amp;Plant_Type&amp;"-"&amp;NYISO_Zone,DRV_Factors,MATCH(N$2,Forecast_Energy_Header,0),FALSE))),0)</f>
        <v>140.94990062838042</v>
      </c>
      <c r="O85" s="36">
        <f>IF(ValGroup&lt;&gt;5,IF(O$3&lt;=System_Age,0,IF(O$2&lt;'2025_Forecasts'!$F$93,0,VLOOKUP(IF(LEFT(VDER_Utility_Name,5)="ConEd",VDER_Utility_Name,"Default")&amp;"-"&amp;Plant_Type&amp;"-"&amp;NYISO_Zone,DRV_Factors,MATCH(O$2,Forecast_Energy_Header,0),FALSE))),0)</f>
        <v>138.11687980794045</v>
      </c>
      <c r="P85" s="36">
        <f>IF(ValGroup&lt;&gt;5,IF(P$3&lt;=System_Age,0,IF(P$2&lt;'2025_Forecasts'!$F$93,0,VLOOKUP(IF(LEFT(VDER_Utility_Name,5)="ConEd",VDER_Utility_Name,"Default")&amp;"-"&amp;Plant_Type&amp;"-"&amp;NYISO_Zone,DRV_Factors,MATCH(P$2,Forecast_Energy_Header,0),FALSE))),0)</f>
        <v>138.11687980794045</v>
      </c>
      <c r="Q85" s="36">
        <f>IF(ValGroup&lt;&gt;5,IF(Q$3&lt;=System_Age,0,IF(Q$2&lt;'2025_Forecasts'!$F$93,0,VLOOKUP(IF(LEFT(VDER_Utility_Name,5)="ConEd",VDER_Utility_Name,"Default")&amp;"-"&amp;Plant_Type&amp;"-"&amp;NYISO_Zone,DRV_Factors,MATCH(Q$2,Forecast_Energy_Header,0),FALSE))),0)</f>
        <v>138.83580408492043</v>
      </c>
      <c r="R85" s="36">
        <f>IF(ValGroup&lt;&gt;5,IF(R$3&lt;=System_Age,0,IF(R$2&lt;'2025_Forecasts'!$F$93,0,VLOOKUP(IF(LEFT(VDER_Utility_Name,5)="ConEd",VDER_Utility_Name,"Default")&amp;"-"&amp;Plant_Type&amp;"-"&amp;NYISO_Zone,DRV_Factors,MATCH(R$2,Forecast_Energy_Header,0),FALSE))),0)</f>
        <v>138.55977880470041</v>
      </c>
      <c r="S85" s="36">
        <f>IF(ValGroup&lt;&gt;5,IF(S$3&lt;=System_Age,0,IF(S$2&lt;'2025_Forecasts'!$F$93,0,VLOOKUP(IF(LEFT(VDER_Utility_Name,5)="ConEd",VDER_Utility_Name,"Default")&amp;"-"&amp;Plant_Type&amp;"-"&amp;NYISO_Zone,DRV_Factors,MATCH(S$2,Forecast_Energy_Header,0),FALSE))),0)</f>
        <v>141.17135012676042</v>
      </c>
      <c r="T85" s="36">
        <f>IF(ValGroup&lt;&gt;5,IF(T$3&lt;=System_Age,0,IF(T$2&lt;'2025_Forecasts'!$F$93,0,VLOOKUP(IF(LEFT(VDER_Utility_Name,5)="ConEd",VDER_Utility_Name,"Default")&amp;"-"&amp;Plant_Type&amp;"-"&amp;NYISO_Zone,DRV_Factors,MATCH(T$2,Forecast_Energy_Header,0),FALSE))),0)</f>
        <v>140.94990062838042</v>
      </c>
      <c r="U85" s="36">
        <f>IF(ValGroup&lt;&gt;5,IF(U$3&lt;=System_Age,0,IF(U$2&lt;'2025_Forecasts'!$F$93,0,VLOOKUP(IF(LEFT(VDER_Utility_Name,5)="ConEd",VDER_Utility_Name,"Default")&amp;"-"&amp;Plant_Type&amp;"-"&amp;NYISO_Zone,DRV_Factors,MATCH(U$2,Forecast_Energy_Header,0),FALSE))),0)</f>
        <v>138.11687980794045</v>
      </c>
      <c r="V85" s="36">
        <f>IF(ValGroup&lt;&gt;5,IF(V$3&lt;=System_Age,0,IF(V$2&lt;'2025_Forecasts'!$F$93,0,VLOOKUP(IF(LEFT(VDER_Utility_Name,5)="ConEd",VDER_Utility_Name,"Default")&amp;"-"&amp;Plant_Type&amp;"-"&amp;NYISO_Zone,DRV_Factors,MATCH(V$2,Forecast_Energy_Header,0),FALSE))),0)</f>
        <v>138.83580408492043</v>
      </c>
      <c r="W85" s="36">
        <f>IF(ValGroup&lt;&gt;5,IF(W$3&lt;=System_Age,0,IF(W$2&lt;'2025_Forecasts'!$F$93,0,VLOOKUP(IF(LEFT(VDER_Utility_Name,5)="ConEd",VDER_Utility_Name,"Default")&amp;"-"&amp;Plant_Type&amp;"-"&amp;NYISO_Zone,DRV_Factors,MATCH(W$2,Forecast_Energy_Header,0),FALSE))),0)</f>
        <v>139.05725358330042</v>
      </c>
      <c r="X85" s="36">
        <f>IF(ValGroup&lt;&gt;5,IF(X$3&lt;=System_Age,0,IF(X$2&lt;'2025_Forecasts'!$F$93,0,VLOOKUP(IF(LEFT(VDER_Utility_Name,5)="ConEd",VDER_Utility_Name,"Default")&amp;"-"&amp;Plant_Type&amp;"-"&amp;NYISO_Zone,DRV_Factors,MATCH(X$2,Forecast_Energy_Header,0),FALSE))),0)</f>
        <v>138.55977880470041</v>
      </c>
      <c r="Y85" s="36">
        <f>IF(ValGroup&lt;&gt;5,IF(Y$3&lt;=System_Age,0,IF(Y$2&lt;'2025_Forecasts'!$F$93,0,VLOOKUP(IF(LEFT(VDER_Utility_Name,5)="ConEd",VDER_Utility_Name,"Default")&amp;"-"&amp;Plant_Type&amp;"-"&amp;NYISO_Zone,DRV_Factors,MATCH(Y$2,Forecast_Energy_Header,0),FALSE))),0)</f>
        <v>141.17135012676042</v>
      </c>
      <c r="Z85" s="36">
        <f>IF(ValGroup&lt;&gt;5,IF(Z$3&lt;=System_Age,0,IF(Z$2&lt;'2025_Forecasts'!$F$93,0,VLOOKUP(IF(LEFT(VDER_Utility_Name,5)="ConEd",VDER_Utility_Name,"Default")&amp;"-"&amp;Plant_Type&amp;"-"&amp;NYISO_Zone,DRV_Factors,MATCH(Z$2,Forecast_Energy_Header,0),FALSE))),0)</f>
        <v>138.11687980794045</v>
      </c>
      <c r="AA85" s="36">
        <f>IF(ValGroup&lt;&gt;5,IF(AA$3&lt;=System_Age,0,IF(AA$2&lt;'2025_Forecasts'!$F$93,0,VLOOKUP(IF(LEFT(VDER_Utility_Name,5)="ConEd",VDER_Utility_Name,"Default")&amp;"-"&amp;Plant_Type&amp;"-"&amp;NYISO_Zone,DRV_Factors,MATCH(AA$2,Forecast_Energy_Header,0),FALSE))),0)</f>
        <v>138.11687980794045</v>
      </c>
    </row>
    <row r="86" spans="2:27" x14ac:dyDescent="0.25">
      <c r="B86" s="75" t="s">
        <v>121</v>
      </c>
      <c r="C86" s="146">
        <f t="shared" ref="C86:AA86" si="37">IF(C$2&lt;DRV_Ref_Year,0,DRV_Rate*IF(C$3&gt;10,DRV_Renewal_Rate,1))</f>
        <v>0</v>
      </c>
      <c r="D86" s="146">
        <f t="shared" si="37"/>
        <v>0</v>
      </c>
      <c r="E86" s="146">
        <f t="shared" si="37"/>
        <v>0</v>
      </c>
      <c r="F86" s="146">
        <f t="shared" si="37"/>
        <v>0.21</v>
      </c>
      <c r="G86" s="146">
        <f t="shared" si="37"/>
        <v>0.21</v>
      </c>
      <c r="H86" s="146">
        <f t="shared" si="37"/>
        <v>0.21</v>
      </c>
      <c r="I86" s="146">
        <f t="shared" si="37"/>
        <v>0.21</v>
      </c>
      <c r="J86" s="146">
        <f t="shared" si="37"/>
        <v>0.21</v>
      </c>
      <c r="K86" s="146">
        <f t="shared" si="37"/>
        <v>0.21</v>
      </c>
      <c r="L86" s="146">
        <f t="shared" si="37"/>
        <v>0.21</v>
      </c>
      <c r="M86" s="146">
        <f t="shared" si="37"/>
        <v>0.105</v>
      </c>
      <c r="N86" s="146">
        <f t="shared" si="37"/>
        <v>0.105</v>
      </c>
      <c r="O86" s="146">
        <f t="shared" si="37"/>
        <v>0.105</v>
      </c>
      <c r="P86" s="146">
        <f t="shared" si="37"/>
        <v>0.105</v>
      </c>
      <c r="Q86" s="146">
        <f t="shared" si="37"/>
        <v>0.105</v>
      </c>
      <c r="R86" s="146">
        <f t="shared" si="37"/>
        <v>0.105</v>
      </c>
      <c r="S86" s="146">
        <f t="shared" si="37"/>
        <v>0.105</v>
      </c>
      <c r="T86" s="146">
        <f t="shared" si="37"/>
        <v>0.105</v>
      </c>
      <c r="U86" s="146">
        <f t="shared" si="37"/>
        <v>0.105</v>
      </c>
      <c r="V86" s="146">
        <f t="shared" si="37"/>
        <v>0.105</v>
      </c>
      <c r="W86" s="146">
        <f t="shared" si="37"/>
        <v>0.105</v>
      </c>
      <c r="X86" s="146">
        <f t="shared" si="37"/>
        <v>0.105</v>
      </c>
      <c r="Y86" s="146">
        <f t="shared" si="37"/>
        <v>0.105</v>
      </c>
      <c r="Z86" s="146">
        <f t="shared" si="37"/>
        <v>0.105</v>
      </c>
      <c r="AA86" s="146">
        <f t="shared" si="37"/>
        <v>0.105</v>
      </c>
    </row>
    <row r="87" spans="2:27" x14ac:dyDescent="0.25">
      <c r="B87" s="75" t="s">
        <v>122</v>
      </c>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row>
    <row r="88" spans="2:27" x14ac:dyDescent="0.25">
      <c r="B88" s="143" t="s">
        <v>110</v>
      </c>
      <c r="C88" s="144">
        <f t="shared" ref="C88:AA88" si="38">System_Size*Fraction_of_Credits*C$84*C$85*C$86</f>
        <v>0</v>
      </c>
      <c r="D88" s="144">
        <f>System_Size*Fraction_of_Credits*D$84*D$85*D$86</f>
        <v>0</v>
      </c>
      <c r="E88" s="144">
        <f t="shared" si="38"/>
        <v>0</v>
      </c>
      <c r="F88" s="144">
        <f t="shared" si="38"/>
        <v>0</v>
      </c>
      <c r="G88" s="144">
        <f t="shared" si="38"/>
        <v>65942.330730391986</v>
      </c>
      <c r="H88" s="144">
        <f t="shared" si="38"/>
        <v>66842.428482675328</v>
      </c>
      <c r="I88" s="144">
        <f t="shared" si="38"/>
        <v>66395.331627877531</v>
      </c>
      <c r="J88" s="144">
        <f t="shared" si="38"/>
        <v>64725.454415245491</v>
      </c>
      <c r="K88" s="144">
        <f t="shared" si="38"/>
        <v>64725.251864389895</v>
      </c>
      <c r="L88" s="144">
        <f t="shared" si="38"/>
        <v>64490.843226677702</v>
      </c>
      <c r="M88" s="144">
        <f t="shared" si="38"/>
        <v>31961.843976465501</v>
      </c>
      <c r="N88" s="144">
        <f t="shared" si="38"/>
        <v>32342.055870280547</v>
      </c>
      <c r="O88" s="144">
        <f t="shared" si="38"/>
        <v>31524.314585663604</v>
      </c>
      <c r="P88" s="144">
        <f t="shared" si="38"/>
        <v>31356.632061271783</v>
      </c>
      <c r="Q88" s="144">
        <f t="shared" si="38"/>
        <v>31351.293871813858</v>
      </c>
      <c r="R88" s="144">
        <f t="shared" si="38"/>
        <v>31120.742819190094</v>
      </c>
      <c r="S88" s="144">
        <f t="shared" si="38"/>
        <v>31535.914976441691</v>
      </c>
      <c r="T88" s="144">
        <f t="shared" si="38"/>
        <v>31315.323937890687</v>
      </c>
      <c r="U88" s="144">
        <f t="shared" si="38"/>
        <v>30518.219439312637</v>
      </c>
      <c r="V88" s="144">
        <f t="shared" si="38"/>
        <v>30508.517154829613</v>
      </c>
      <c r="W88" s="144">
        <f t="shared" si="38"/>
        <v>30388.355447125621</v>
      </c>
      <c r="X88" s="144">
        <f t="shared" si="38"/>
        <v>30111.421430459603</v>
      </c>
      <c r="Y88" s="144">
        <f t="shared" si="38"/>
        <v>30507.569922862069</v>
      </c>
      <c r="Z88" s="144">
        <f t="shared" si="38"/>
        <v>29679.806817353499</v>
      </c>
      <c r="AA88" s="144">
        <f t="shared" si="38"/>
        <v>29512.124292961671</v>
      </c>
    </row>
    <row r="89" spans="2:27" x14ac:dyDescent="0.25">
      <c r="B89" s="143" t="str">
        <f>"Real "&amp;TEXT(Cash_Flow_Base_Year,"0000")&amp;" $"</f>
        <v>Real 2024 $</v>
      </c>
      <c r="C89" s="144">
        <f t="shared" ref="C89:AA89" si="39">C$88*C$47</f>
        <v>0</v>
      </c>
      <c r="D89" s="144">
        <f t="shared" si="39"/>
        <v>0</v>
      </c>
      <c r="E89" s="144">
        <f t="shared" si="39"/>
        <v>0</v>
      </c>
      <c r="F89" s="144">
        <f t="shared" si="39"/>
        <v>0</v>
      </c>
      <c r="G89" s="144">
        <f t="shared" si="39"/>
        <v>64333.981200382434</v>
      </c>
      <c r="H89" s="144">
        <f t="shared" si="39"/>
        <v>63621.585706294187</v>
      </c>
      <c r="I89" s="144">
        <f t="shared" si="39"/>
        <v>61654.665837468441</v>
      </c>
      <c r="J89" s="144">
        <f t="shared" si="39"/>
        <v>58638.06716244881</v>
      </c>
      <c r="K89" s="144">
        <f t="shared" si="39"/>
        <v>57207.691376946903</v>
      </c>
      <c r="L89" s="144">
        <f t="shared" si="39"/>
        <v>55610.251997514417</v>
      </c>
      <c r="M89" s="144">
        <f t="shared" si="39"/>
        <v>26888.388186560813</v>
      </c>
      <c r="N89" s="144">
        <f t="shared" si="39"/>
        <v>26544.631448578188</v>
      </c>
      <c r="O89" s="144">
        <f t="shared" si="39"/>
        <v>25242.41277406492</v>
      </c>
      <c r="P89" s="144">
        <f t="shared" si="39"/>
        <v>24495.750849767206</v>
      </c>
      <c r="Q89" s="144">
        <f t="shared" si="39"/>
        <v>23894.22503872641</v>
      </c>
      <c r="R89" s="144">
        <f t="shared" si="39"/>
        <v>23140.011470190319</v>
      </c>
      <c r="S89" s="144">
        <f t="shared" si="39"/>
        <v>22876.795288801655</v>
      </c>
      <c r="T89" s="144">
        <f t="shared" si="39"/>
        <v>22162.706394878143</v>
      </c>
      <c r="U89" s="144">
        <f t="shared" si="39"/>
        <v>21071.779378899362</v>
      </c>
      <c r="V89" s="144">
        <f t="shared" si="39"/>
        <v>20551.297839649931</v>
      </c>
      <c r="W89" s="144">
        <f t="shared" si="39"/>
        <v>19971.076992476501</v>
      </c>
      <c r="X89" s="144">
        <f t="shared" si="39"/>
        <v>19306.416903012469</v>
      </c>
      <c r="Y89" s="144">
        <f t="shared" si="39"/>
        <v>19083.330547685644</v>
      </c>
      <c r="Z89" s="144">
        <f t="shared" si="39"/>
        <v>18112.72369029426</v>
      </c>
      <c r="AA89" s="144">
        <f t="shared" si="39"/>
        <v>17571.114066373379</v>
      </c>
    </row>
    <row r="91" spans="2:27" x14ac:dyDescent="0.25">
      <c r="B91" s="128" t="s">
        <v>123</v>
      </c>
    </row>
    <row r="92" spans="2:27" x14ac:dyDescent="0.25">
      <c r="B92" s="75" t="s">
        <v>107</v>
      </c>
      <c r="C92" s="87">
        <f>Fraction_of_Credits</f>
        <v>0.92500000000000004</v>
      </c>
    </row>
    <row r="93" spans="2:27" x14ac:dyDescent="0.25">
      <c r="B93" s="75" t="s">
        <v>124</v>
      </c>
      <c r="C93" s="75">
        <f>System_Age</f>
        <v>4</v>
      </c>
    </row>
    <row r="94" spans="2:27" x14ac:dyDescent="0.25">
      <c r="B94" s="75" t="s">
        <v>125</v>
      </c>
      <c r="C94" s="35">
        <f>CC_MTC</f>
        <v>2.8199999999999999E-2</v>
      </c>
    </row>
    <row r="95" spans="2:27" x14ac:dyDescent="0.25">
      <c r="B95" s="75" t="s">
        <v>126</v>
      </c>
      <c r="C95" s="141">
        <v>25</v>
      </c>
    </row>
    <row r="96" spans="2:27" x14ac:dyDescent="0.25">
      <c r="B96" s="75" t="s">
        <v>127</v>
      </c>
    </row>
    <row r="97" spans="2:27" x14ac:dyDescent="0.25">
      <c r="B97" s="143" t="s">
        <v>110</v>
      </c>
      <c r="C97" s="144">
        <f t="shared" ref="C97:AA97" si="40">IF(OR(C$3&lt;=System_Age,C$3&gt;$C$95),0,C$58*Fraction_of_Credits*CC_MTC)</f>
        <v>0</v>
      </c>
      <c r="D97" s="144">
        <f t="shared" si="40"/>
        <v>0</v>
      </c>
      <c r="E97" s="144">
        <f>IF(OR(E$3&lt;=System_Age,E$3&gt;$C$95),0,E$58*Fraction_of_Credits*CC_MTC)</f>
        <v>0</v>
      </c>
      <c r="F97" s="144">
        <f t="shared" si="40"/>
        <v>0</v>
      </c>
      <c r="G97" s="144">
        <f t="shared" si="40"/>
        <v>105002.16398225781</v>
      </c>
      <c r="H97" s="144">
        <f t="shared" si="40"/>
        <v>104466.43865581772</v>
      </c>
      <c r="I97" s="144">
        <f t="shared" si="40"/>
        <v>103930.71332937763</v>
      </c>
      <c r="J97" s="144">
        <f t="shared" si="40"/>
        <v>103678.26194267163</v>
      </c>
      <c r="K97" s="144">
        <f t="shared" si="40"/>
        <v>102859.26267649746</v>
      </c>
      <c r="L97" s="144">
        <f t="shared" si="40"/>
        <v>102323.53735005736</v>
      </c>
      <c r="M97" s="144">
        <f t="shared" si="40"/>
        <v>101787.81202361727</v>
      </c>
      <c r="N97" s="144">
        <f t="shared" si="40"/>
        <v>101529.48967442973</v>
      </c>
      <c r="O97" s="144">
        <f t="shared" si="40"/>
        <v>100716.36137073708</v>
      </c>
      <c r="P97" s="144">
        <f t="shared" si="40"/>
        <v>100180.63604429702</v>
      </c>
      <c r="Q97" s="144">
        <f t="shared" si="40"/>
        <v>99644.910717856896</v>
      </c>
      <c r="R97" s="144">
        <f t="shared" si="40"/>
        <v>99380.717406187832</v>
      </c>
      <c r="S97" s="144">
        <f t="shared" si="40"/>
        <v>98573.460064976738</v>
      </c>
      <c r="T97" s="144">
        <f t="shared" si="40"/>
        <v>98037.73473853663</v>
      </c>
      <c r="U97" s="144">
        <f t="shared" si="40"/>
        <v>97502.009412096551</v>
      </c>
      <c r="V97" s="144">
        <f t="shared" si="40"/>
        <v>97231.945137945921</v>
      </c>
      <c r="W97" s="144">
        <f t="shared" si="40"/>
        <v>96430.558759216365</v>
      </c>
      <c r="X97" s="144">
        <f t="shared" si="40"/>
        <v>95894.833432776271</v>
      </c>
      <c r="Y97" s="144">
        <f t="shared" si="40"/>
        <v>95359.108106336178</v>
      </c>
      <c r="Z97" s="144">
        <f t="shared" si="40"/>
        <v>95083.172869704038</v>
      </c>
      <c r="AA97" s="144">
        <f t="shared" si="40"/>
        <v>94287.657453456006</v>
      </c>
    </row>
    <row r="98" spans="2:27" x14ac:dyDescent="0.25">
      <c r="B98" s="143" t="str">
        <f>"Real "&amp;TEXT(Cash_Flow_Base_Year,"0000")&amp;" $"</f>
        <v>Real 2024 $</v>
      </c>
      <c r="C98" s="144">
        <f t="shared" ref="C98:AA98" si="41">C$97*C$47</f>
        <v>0</v>
      </c>
      <c r="D98" s="144">
        <f t="shared" si="41"/>
        <v>0</v>
      </c>
      <c r="E98" s="144">
        <f>E$97*E$47</f>
        <v>0</v>
      </c>
      <c r="F98" s="144">
        <f t="shared" si="41"/>
        <v>0</v>
      </c>
      <c r="G98" s="144">
        <f t="shared" si="41"/>
        <v>102441.13559244666</v>
      </c>
      <c r="H98" s="144">
        <f t="shared" si="41"/>
        <v>99432.660231593312</v>
      </c>
      <c r="I98" s="144">
        <f t="shared" si="41"/>
        <v>96509.999174129349</v>
      </c>
      <c r="J98" s="144">
        <f t="shared" si="41"/>
        <v>93927.388258681269</v>
      </c>
      <c r="K98" s="144">
        <f t="shared" si="41"/>
        <v>90912.600336975855</v>
      </c>
      <c r="L98" s="144">
        <f t="shared" si="41"/>
        <v>88233.2655709471</v>
      </c>
      <c r="M98" s="144">
        <f t="shared" si="41"/>
        <v>85630.547610675261</v>
      </c>
      <c r="N98" s="144">
        <f t="shared" si="41"/>
        <v>83329.98048669142</v>
      </c>
      <c r="O98" s="144">
        <f t="shared" si="41"/>
        <v>80646.447043711843</v>
      </c>
      <c r="P98" s="144">
        <f t="shared" si="41"/>
        <v>78260.952761671593</v>
      </c>
      <c r="Q98" s="144">
        <f t="shared" si="41"/>
        <v>75943.848773553735</v>
      </c>
      <c r="R98" s="144">
        <f t="shared" si="41"/>
        <v>73895.117287395682</v>
      </c>
      <c r="S98" s="144">
        <f t="shared" si="41"/>
        <v>71507.196429845993</v>
      </c>
      <c r="T98" s="144">
        <f t="shared" si="41"/>
        <v>69383.971085163401</v>
      </c>
      <c r="U98" s="144">
        <f t="shared" si="41"/>
        <v>67321.779221643286</v>
      </c>
      <c r="V98" s="144">
        <f t="shared" si="41"/>
        <v>65497.862577765416</v>
      </c>
      <c r="W98" s="144">
        <f t="shared" si="41"/>
        <v>63373.686567497323</v>
      </c>
      <c r="X98" s="144">
        <f t="shared" si="41"/>
        <v>61484.498079035344</v>
      </c>
      <c r="Y98" s="144">
        <f t="shared" si="41"/>
        <v>59649.765134586676</v>
      </c>
      <c r="Z98" s="144">
        <f t="shared" si="41"/>
        <v>58026.497557203438</v>
      </c>
      <c r="AA98" s="144">
        <f t="shared" si="41"/>
        <v>56137.578160069294</v>
      </c>
    </row>
    <row r="100" spans="2:27" x14ac:dyDescent="0.25">
      <c r="B100" s="128" t="s">
        <v>128</v>
      </c>
    </row>
    <row r="101" spans="2:27" x14ac:dyDescent="0.25">
      <c r="B101" s="75" t="s">
        <v>107</v>
      </c>
      <c r="C101" s="87">
        <f>Fraction_of_Credits</f>
        <v>0.92500000000000004</v>
      </c>
    </row>
    <row r="102" spans="2:27" x14ac:dyDescent="0.25">
      <c r="B102" s="75" t="s">
        <v>124</v>
      </c>
      <c r="C102" s="75">
        <f>System_Age</f>
        <v>4</v>
      </c>
    </row>
    <row r="103" spans="2:27" x14ac:dyDescent="0.25">
      <c r="B103" s="75" t="s">
        <v>129</v>
      </c>
      <c r="C103" s="144">
        <f>Community_Adder</f>
        <v>0</v>
      </c>
    </row>
    <row r="104" spans="2:27" x14ac:dyDescent="0.25">
      <c r="B104" s="75" t="s">
        <v>130</v>
      </c>
      <c r="C104" s="148">
        <v>0.5</v>
      </c>
      <c r="D104" s="148">
        <v>0.25</v>
      </c>
      <c r="E104" s="148">
        <v>0.25</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row>
    <row r="105" spans="2:27" x14ac:dyDescent="0.25">
      <c r="B105" s="75" t="s">
        <v>131</v>
      </c>
    </row>
    <row r="106" spans="2:27" x14ac:dyDescent="0.25">
      <c r="B106" s="143" t="s">
        <v>110</v>
      </c>
      <c r="C106" s="144">
        <f>IF(C$3&lt;=System_Age,0,IF(C$3&gt;3,0,Community_Adder*C$104)*Fraction_of_Credits)</f>
        <v>0</v>
      </c>
      <c r="D106" s="144">
        <f t="shared" ref="D106:AA106" si="42">IF(D$3&lt;=System_Age,0,IF(D$3&gt;3,0,Community_Adder*D$104)*Fraction_of_Credits)</f>
        <v>0</v>
      </c>
      <c r="E106" s="144">
        <f t="shared" si="42"/>
        <v>0</v>
      </c>
      <c r="F106" s="144">
        <f t="shared" si="42"/>
        <v>0</v>
      </c>
      <c r="G106" s="144">
        <f t="shared" si="42"/>
        <v>0</v>
      </c>
      <c r="H106" s="144">
        <f t="shared" si="42"/>
        <v>0</v>
      </c>
      <c r="I106" s="144">
        <f t="shared" si="42"/>
        <v>0</v>
      </c>
      <c r="J106" s="144">
        <f t="shared" si="42"/>
        <v>0</v>
      </c>
      <c r="K106" s="144">
        <f t="shared" si="42"/>
        <v>0</v>
      </c>
      <c r="L106" s="144">
        <f t="shared" si="42"/>
        <v>0</v>
      </c>
      <c r="M106" s="144">
        <f t="shared" si="42"/>
        <v>0</v>
      </c>
      <c r="N106" s="144">
        <f t="shared" si="42"/>
        <v>0</v>
      </c>
      <c r="O106" s="144">
        <f t="shared" si="42"/>
        <v>0</v>
      </c>
      <c r="P106" s="144">
        <f t="shared" si="42"/>
        <v>0</v>
      </c>
      <c r="Q106" s="144">
        <f t="shared" si="42"/>
        <v>0</v>
      </c>
      <c r="R106" s="144">
        <f t="shared" si="42"/>
        <v>0</v>
      </c>
      <c r="S106" s="144">
        <f t="shared" si="42"/>
        <v>0</v>
      </c>
      <c r="T106" s="144">
        <f t="shared" si="42"/>
        <v>0</v>
      </c>
      <c r="U106" s="144">
        <f t="shared" si="42"/>
        <v>0</v>
      </c>
      <c r="V106" s="144">
        <f t="shared" si="42"/>
        <v>0</v>
      </c>
      <c r="W106" s="144">
        <f t="shared" si="42"/>
        <v>0</v>
      </c>
      <c r="X106" s="144">
        <f t="shared" si="42"/>
        <v>0</v>
      </c>
      <c r="Y106" s="144">
        <f t="shared" si="42"/>
        <v>0</v>
      </c>
      <c r="Z106" s="144">
        <f t="shared" si="42"/>
        <v>0</v>
      </c>
      <c r="AA106" s="144">
        <f t="shared" si="42"/>
        <v>0</v>
      </c>
    </row>
    <row r="107" spans="2:27" x14ac:dyDescent="0.25">
      <c r="B107" s="143" t="str">
        <f>"Real "&amp;TEXT(Cash_Flow_Base_Year,"0000")&amp;" $"</f>
        <v>Real 2024 $</v>
      </c>
      <c r="C107" s="144">
        <f t="shared" ref="C107:AA107" si="43">C$106*C$47</f>
        <v>0</v>
      </c>
      <c r="D107" s="144">
        <f t="shared" si="43"/>
        <v>0</v>
      </c>
      <c r="E107" s="144">
        <f t="shared" si="43"/>
        <v>0</v>
      </c>
      <c r="F107" s="144">
        <f t="shared" si="43"/>
        <v>0</v>
      </c>
      <c r="G107" s="144">
        <f t="shared" si="43"/>
        <v>0</v>
      </c>
      <c r="H107" s="144">
        <f t="shared" si="43"/>
        <v>0</v>
      </c>
      <c r="I107" s="144">
        <f t="shared" si="43"/>
        <v>0</v>
      </c>
      <c r="J107" s="144">
        <f t="shared" si="43"/>
        <v>0</v>
      </c>
      <c r="K107" s="144">
        <f t="shared" si="43"/>
        <v>0</v>
      </c>
      <c r="L107" s="144">
        <f t="shared" si="43"/>
        <v>0</v>
      </c>
      <c r="M107" s="144">
        <f t="shared" si="43"/>
        <v>0</v>
      </c>
      <c r="N107" s="144">
        <f t="shared" si="43"/>
        <v>0</v>
      </c>
      <c r="O107" s="144">
        <f t="shared" si="43"/>
        <v>0</v>
      </c>
      <c r="P107" s="144">
        <f t="shared" si="43"/>
        <v>0</v>
      </c>
      <c r="Q107" s="144">
        <f t="shared" si="43"/>
        <v>0</v>
      </c>
      <c r="R107" s="144">
        <f t="shared" si="43"/>
        <v>0</v>
      </c>
      <c r="S107" s="144">
        <f t="shared" si="43"/>
        <v>0</v>
      </c>
      <c r="T107" s="144">
        <f t="shared" si="43"/>
        <v>0</v>
      </c>
      <c r="U107" s="144">
        <f t="shared" si="43"/>
        <v>0</v>
      </c>
      <c r="V107" s="144">
        <f t="shared" si="43"/>
        <v>0</v>
      </c>
      <c r="W107" s="144">
        <f t="shared" si="43"/>
        <v>0</v>
      </c>
      <c r="X107" s="144">
        <f t="shared" si="43"/>
        <v>0</v>
      </c>
      <c r="Y107" s="144">
        <f t="shared" si="43"/>
        <v>0</v>
      </c>
      <c r="Z107" s="144">
        <f t="shared" si="43"/>
        <v>0</v>
      </c>
      <c r="AA107" s="144">
        <f t="shared" si="43"/>
        <v>0</v>
      </c>
    </row>
    <row r="109" spans="2:27" x14ac:dyDescent="0.25">
      <c r="B109" s="128" t="s">
        <v>132</v>
      </c>
    </row>
    <row r="110" spans="2:27" x14ac:dyDescent="0.25">
      <c r="B110" s="75" t="s">
        <v>107</v>
      </c>
      <c r="C110" s="87">
        <f>Fraction_of_Credits</f>
        <v>0.92500000000000004</v>
      </c>
    </row>
    <row r="111" spans="2:27" x14ac:dyDescent="0.25">
      <c r="B111" s="75" t="s">
        <v>133</v>
      </c>
      <c r="C111" s="87">
        <f>Residential_Share</f>
        <v>0.85</v>
      </c>
    </row>
    <row r="112" spans="2:27" x14ac:dyDescent="0.25">
      <c r="B112" s="75" t="s">
        <v>134</v>
      </c>
      <c r="C112" s="149">
        <f>IF((C$3&lt;=System_Age),0,(INDEX(Forecast_NEM_Residential,MATCH(NEM_Utility_Name,'2025_Forecasts'!$D$141:$D$148,0),MATCH(C$2,Forecast_NEM_Header,0))))</f>
        <v>0</v>
      </c>
      <c r="D112" s="149">
        <f>IF((D$3&lt;=System_Age),0,(INDEX(Forecast_NEM_Residential,MATCH(NEM_Utility_Name,'2025_Forecasts'!$D$141:$D$148,0),MATCH(D$2,Forecast_NEM_Header,0))))</f>
        <v>0</v>
      </c>
      <c r="E112" s="149">
        <f>IF((E$3&lt;=System_Age),0,(INDEX(Forecast_NEM_Residential,MATCH(NEM_Utility_Name,'2025_Forecasts'!$D$141:$D$148,0),MATCH(E$2,Forecast_NEM_Header,0))))</f>
        <v>0</v>
      </c>
      <c r="F112" s="149">
        <f>IF((F$3&lt;=System_Age),0,(INDEX(Forecast_NEM_Residential,MATCH(NEM_Utility_Name,'2025_Forecasts'!$D$141:$D$148,0),MATCH(F$2,Forecast_NEM_Header,0))))</f>
        <v>0</v>
      </c>
      <c r="G112" s="149">
        <f>IF((G$3&lt;=System_Age),0,(INDEX(Forecast_NEM_Residential,MATCH(NEM_Utility_Name,'2025_Forecasts'!$D$141:$D$148,0),MATCH(G$2,Forecast_NEM_Header,0))))</f>
        <v>0.14972580000000002</v>
      </c>
      <c r="H112" s="149">
        <f>IF((H$3&lt;=System_Age),0,(INDEX(Forecast_NEM_Residential,MATCH(NEM_Utility_Name,'2025_Forecasts'!$D$141:$D$148,0),MATCH(H$2,Forecast_NEM_Header,0))))</f>
        <v>0.15393905910957234</v>
      </c>
      <c r="I112" s="149">
        <f>IF((I$3&lt;=System_Age),0,(INDEX(Forecast_NEM_Residential,MATCH(NEM_Utility_Name,'2025_Forecasts'!$D$141:$D$148,0),MATCH(I$2,Forecast_NEM_Header,0))))</f>
        <v>0.14741877461833991</v>
      </c>
      <c r="J112" s="149">
        <f>IF((J$3&lt;=System_Age),0,(INDEX(Forecast_NEM_Residential,MATCH(NEM_Utility_Name,'2025_Forecasts'!$D$141:$D$148,0),MATCH(J$2,Forecast_NEM_Header,0))))</f>
        <v>0.14347087014620727</v>
      </c>
      <c r="K112" s="149">
        <f>IF((K$3&lt;=System_Age),0,(INDEX(Forecast_NEM_Residential,MATCH(NEM_Utility_Name,'2025_Forecasts'!$D$141:$D$148,0),MATCH(K$2,Forecast_NEM_Header,0))))</f>
        <v>0.13919664340619115</v>
      </c>
      <c r="L112" s="149">
        <f>IF((L$3&lt;=System_Age),0,(INDEX(Forecast_NEM_Residential,MATCH(NEM_Utility_Name,'2025_Forecasts'!$D$141:$D$148,0),MATCH(L$2,Forecast_NEM_Header,0))))</f>
        <v>0.14140830793162157</v>
      </c>
      <c r="M112" s="149">
        <f>IF((M$3&lt;=System_Age),0,(INDEX(Forecast_NEM_Residential,MATCH(NEM_Utility_Name,'2025_Forecasts'!$D$141:$D$148,0),MATCH(M$2,Forecast_NEM_Header,0))))</f>
        <v>0.13946531779724716</v>
      </c>
      <c r="N112" s="149">
        <f>IF((N$3&lt;=System_Age),0,(INDEX(Forecast_NEM_Residential,MATCH(NEM_Utility_Name,'2025_Forecasts'!$D$141:$D$148,0),MATCH(N$2,Forecast_NEM_Header,0))))</f>
        <v>0.13741976020485358</v>
      </c>
      <c r="O112" s="149">
        <f>IF((O$3&lt;=System_Age),0,(INDEX(Forecast_NEM_Residential,MATCH(NEM_Utility_Name,'2025_Forecasts'!$D$141:$D$148,0),MATCH(O$2,Forecast_NEM_Header,0))))</f>
        <v>0.13314048842671194</v>
      </c>
      <c r="P112" s="149">
        <f>IF((P$3&lt;=System_Age),0,(INDEX(Forecast_NEM_Residential,MATCH(NEM_Utility_Name,'2025_Forecasts'!$D$141:$D$148,0),MATCH(P$2,Forecast_NEM_Header,0))))</f>
        <v>0.12997796452268862</v>
      </c>
      <c r="Q112" s="149">
        <f>IF((Q$3&lt;=System_Age),0,(INDEX(Forecast_NEM_Residential,MATCH(NEM_Utility_Name,'2025_Forecasts'!$D$141:$D$148,0),MATCH(Q$2,Forecast_NEM_Header,0))))</f>
        <v>0.12905443835051594</v>
      </c>
      <c r="R112" s="149">
        <f>IF((R$3&lt;=System_Age),0,(INDEX(Forecast_NEM_Residential,MATCH(NEM_Utility_Name,'2025_Forecasts'!$D$141:$D$148,0),MATCH(R$2,Forecast_NEM_Header,0))))</f>
        <v>0.12736896463787145</v>
      </c>
      <c r="S112" s="149">
        <f>IF((S$3&lt;=System_Age),0,(INDEX(Forecast_NEM_Residential,MATCH(NEM_Utility_Name,'2025_Forecasts'!$D$141:$D$148,0),MATCH(S$2,Forecast_NEM_Header,0))))</f>
        <v>0.12705363576103473</v>
      </c>
      <c r="T112" s="149">
        <f>IF((T$3&lt;=System_Age),0,(INDEX(Forecast_NEM_Residential,MATCH(NEM_Utility_Name,'2025_Forecasts'!$D$141:$D$148,0),MATCH(T$2,Forecast_NEM_Header,0))))</f>
        <v>0.12479447230258559</v>
      </c>
      <c r="U112" s="149">
        <f>IF((U$3&lt;=System_Age),0,(INDEX(Forecast_NEM_Residential,MATCH(NEM_Utility_Name,'2025_Forecasts'!$D$141:$D$148,0),MATCH(U$2,Forecast_NEM_Header,0))))</f>
        <v>0.12306812030459188</v>
      </c>
      <c r="V112" s="149">
        <f>IF((V$3&lt;=System_Age),0,(INDEX(Forecast_NEM_Residential,MATCH(NEM_Utility_Name,'2025_Forecasts'!$D$141:$D$148,0),MATCH(V$2,Forecast_NEM_Header,0))))</f>
        <v>0.12161401184637768</v>
      </c>
      <c r="W112" s="149">
        <f>IF((W$3&lt;=System_Age),0,(INDEX(Forecast_NEM_Residential,MATCH(NEM_Utility_Name,'2025_Forecasts'!$D$141:$D$148,0),MATCH(W$2,Forecast_NEM_Header,0))))</f>
        <v>0.11981895142447291</v>
      </c>
      <c r="X112" s="149">
        <f>IF((X$3&lt;=System_Age),0,(INDEX(Forecast_NEM_Residential,MATCH(NEM_Utility_Name,'2025_Forecasts'!$D$141:$D$148,0),MATCH(X$2,Forecast_NEM_Header,0))))</f>
        <v>0.11947652076284516</v>
      </c>
      <c r="Y112" s="149">
        <f>IF((Y$3&lt;=System_Age),0,(INDEX(Forecast_NEM_Residential,MATCH(NEM_Utility_Name,'2025_Forecasts'!$D$141:$D$148,0),MATCH(Y$2,Forecast_NEM_Header,0))))</f>
        <v>0.11813213456181915</v>
      </c>
      <c r="Z112" s="149">
        <f>IF((Z$3&lt;=System_Age),0,(INDEX(Forecast_NEM_Residential,MATCH(NEM_Utility_Name,'2025_Forecasts'!$D$141:$D$148,0),MATCH(Z$2,Forecast_NEM_Header,0))))</f>
        <v>0.11776595249217288</v>
      </c>
      <c r="AA112" s="149">
        <f>IF((AA$3&lt;=System_Age),0,(INDEX(Forecast_NEM_Residential,MATCH(NEM_Utility_Name,'2025_Forecasts'!$D$141:$D$148,0),MATCH(AA$2,Forecast_NEM_Header,0))))</f>
        <v>0.11671460964209837</v>
      </c>
    </row>
    <row r="113" spans="2:27" x14ac:dyDescent="0.25">
      <c r="B113" s="75" t="s">
        <v>135</v>
      </c>
      <c r="C113" s="149">
        <f>IF((C$3&lt;=System_Age),0,(INDEX(Forecast_NEM_Commercial,MATCH(NEM_Utility_Name,'2025_Forecasts'!$D$149:$D$156,0),MATCH(C$2,Forecast_NEM_Header,0))))</f>
        <v>0</v>
      </c>
      <c r="D113" s="149">
        <f>IF((D$3&lt;=System_Age),0,(INDEX(Forecast_NEM_Commercial,MATCH(NEM_Utility_Name,'2025_Forecasts'!$D$149:$D$156,0),MATCH(D$2,Forecast_NEM_Header,0))))</f>
        <v>0</v>
      </c>
      <c r="E113" s="149">
        <f>IF((E$3&lt;=System_Age),0,(INDEX(Forecast_NEM_Commercial,MATCH(NEM_Utility_Name,'2025_Forecasts'!$D$149:$D$156,0),MATCH(E$2,Forecast_NEM_Header,0))))</f>
        <v>0</v>
      </c>
      <c r="F113" s="149">
        <f>IF((F$3&lt;=System_Age),0,(INDEX(Forecast_NEM_Commercial,MATCH(NEM_Utility_Name,'2025_Forecasts'!$D$149:$D$156,0),MATCH(F$2,Forecast_NEM_Header,0))))</f>
        <v>0</v>
      </c>
      <c r="G113" s="149">
        <f>IF((G$3&lt;=System_Age),0,(INDEX(Forecast_NEM_Commercial,MATCH(NEM_Utility_Name,'2025_Forecasts'!$D$149:$D$156,0),MATCH(G$2,Forecast_NEM_Header,0))))</f>
        <v>6.2989199999999995E-2</v>
      </c>
      <c r="H113" s="149">
        <f>IF((H$3&lt;=System_Age),0,(INDEX(Forecast_NEM_Commercial,MATCH(NEM_Utility_Name,'2025_Forecasts'!$D$149:$D$156,0),MATCH(H$2,Forecast_NEM_Header,0))))</f>
        <v>6.6723052519782486E-2</v>
      </c>
      <c r="I113" s="149">
        <f>IF((I$3&lt;=System_Age),0,(INDEX(Forecast_NEM_Commercial,MATCH(NEM_Utility_Name,'2025_Forecasts'!$D$149:$D$156,0),MATCH(I$2,Forecast_NEM_Header,0))))</f>
        <v>6.0944679995297991E-2</v>
      </c>
      <c r="J113" s="149">
        <f>IF((J$3&lt;=System_Age),0,(INDEX(Forecast_NEM_Commercial,MATCH(NEM_Utility_Name,'2025_Forecasts'!$D$149:$D$156,0),MATCH(J$2,Forecast_NEM_Header,0))))</f>
        <v>5.7445988678724941E-2</v>
      </c>
      <c r="K113" s="149">
        <f>IF((K$3&lt;=System_Age),0,(INDEX(Forecast_NEM_Commercial,MATCH(NEM_Utility_Name,'2025_Forecasts'!$D$149:$D$156,0),MATCH(K$2,Forecast_NEM_Header,0))))</f>
        <v>5.3658105743381153E-2</v>
      </c>
      <c r="L113" s="149">
        <f>IF((L$3&lt;=System_Age),0,(INDEX(Forecast_NEM_Commercial,MATCH(NEM_Utility_Name,'2025_Forecasts'!$D$149:$D$156,0),MATCH(L$2,Forecast_NEM_Header,0))))</f>
        <v>5.561811554729517E-2</v>
      </c>
      <c r="M113" s="149">
        <f>IF((M$3&lt;=System_Age),0,(INDEX(Forecast_NEM_Commercial,MATCH(NEM_Utility_Name,'2025_Forecasts'!$D$149:$D$156,0),MATCH(M$2,Forecast_NEM_Header,0))))</f>
        <v>5.389620896133096E-2</v>
      </c>
      <c r="N113" s="149">
        <f>IF((N$3&lt;=System_Age),0,(INDEX(Forecast_NEM_Commercial,MATCH(NEM_Utility_Name,'2025_Forecasts'!$D$149:$D$156,0),MATCH(N$2,Forecast_NEM_Header,0))))</f>
        <v>5.2083405577516693E-2</v>
      </c>
      <c r="O113" s="149">
        <f>IF((O$3&lt;=System_Age),0,(INDEX(Forecast_NEM_Commercial,MATCH(NEM_Utility_Name,'2025_Forecasts'!$D$149:$D$156,0),MATCH(O$2,Forecast_NEM_Header,0))))</f>
        <v>4.8291051654790598E-2</v>
      </c>
      <c r="P113" s="149">
        <f>IF((P$3&lt;=System_Age),0,(INDEX(Forecast_NEM_Commercial,MATCH(NEM_Utility_Name,'2025_Forecasts'!$D$149:$D$156,0),MATCH(P$2,Forecast_NEM_Header,0))))</f>
        <v>4.5488376210244173E-2</v>
      </c>
      <c r="Q113" s="149">
        <f>IF((Q$3&lt;=System_Age),0,(INDEX(Forecast_NEM_Commercial,MATCH(NEM_Utility_Name,'2025_Forecasts'!$D$149:$D$156,0),MATCH(Q$2,Forecast_NEM_Header,0))))</f>
        <v>4.4669933661287818E-2</v>
      </c>
      <c r="R113" s="149">
        <f>IF((R$3&lt;=System_Age),0,(INDEX(Forecast_NEM_Commercial,MATCH(NEM_Utility_Name,'2025_Forecasts'!$D$149:$D$156,0),MATCH(R$2,Forecast_NEM_Header,0))))</f>
        <v>4.3176241935875853E-2</v>
      </c>
      <c r="S113" s="149">
        <f>IF((S$3&lt;=System_Age),0,(INDEX(Forecast_NEM_Commercial,MATCH(NEM_Utility_Name,'2025_Forecasts'!$D$149:$D$156,0),MATCH(S$2,Forecast_NEM_Header,0))))</f>
        <v>4.2896792822798048E-2</v>
      </c>
      <c r="T113" s="149">
        <f>IF((T$3&lt;=System_Age),0,(INDEX(Forecast_NEM_Commercial,MATCH(NEM_Utility_Name,'2025_Forecasts'!$D$149:$D$156,0),MATCH(T$2,Forecast_NEM_Header,0))))</f>
        <v>4.0894688762127762E-2</v>
      </c>
      <c r="U113" s="149">
        <f>IF((U$3&lt;=System_Age),0,(INDEX(Forecast_NEM_Commercial,MATCH(NEM_Utility_Name,'2025_Forecasts'!$D$149:$D$156,0),MATCH(U$2,Forecast_NEM_Header,0))))</f>
        <v>3.9364770095816598E-2</v>
      </c>
      <c r="V113" s="149">
        <f>IF((V$3&lt;=System_Age),0,(INDEX(Forecast_NEM_Commercial,MATCH(NEM_Utility_Name,'2025_Forecasts'!$D$149:$D$156,0),MATCH(V$2,Forecast_NEM_Header,0))))</f>
        <v>3.8076117679827104E-2</v>
      </c>
      <c r="W113" s="149">
        <f>IF((W$3&lt;=System_Age),0,(INDEX(Forecast_NEM_Commercial,MATCH(NEM_Utility_Name,'2025_Forecasts'!$D$149:$D$156,0),MATCH(W$2,Forecast_NEM_Header,0))))</f>
        <v>3.6485308592329221E-2</v>
      </c>
      <c r="X113" s="149">
        <f>IF((X$3&lt;=System_Age),0,(INDEX(Forecast_NEM_Commercial,MATCH(NEM_Utility_Name,'2025_Forecasts'!$D$149:$D$156,0),MATCH(X$2,Forecast_NEM_Header,0))))</f>
        <v>3.6181841476844993E-2</v>
      </c>
      <c r="Y113" s="149">
        <f>IF((Y$3&lt;=System_Age),0,(INDEX(Forecast_NEM_Commercial,MATCH(NEM_Utility_Name,'2025_Forecasts'!$D$149:$D$156,0),MATCH(Y$2,Forecast_NEM_Header,0))))</f>
        <v>3.499042654751934E-2</v>
      </c>
      <c r="Z113" s="149">
        <f>IF((Z$3&lt;=System_Age),0,(INDEX(Forecast_NEM_Commercial,MATCH(NEM_Utility_Name,'2025_Forecasts'!$D$149:$D$156,0),MATCH(Z$2,Forecast_NEM_Header,0))))</f>
        <v>3.4665910583062863E-2</v>
      </c>
      <c r="AA113" s="149">
        <f>IF((AA$3&lt;=System_Age),0,(INDEX(Forecast_NEM_Commercial,MATCH(NEM_Utility_Name,'2025_Forecasts'!$D$149:$D$156,0),MATCH(AA$2,Forecast_NEM_Header,0))))</f>
        <v>3.3734195004263702E-2</v>
      </c>
    </row>
    <row r="114" spans="2:27" x14ac:dyDescent="0.25">
      <c r="B114" s="75" t="s">
        <v>136</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row>
    <row r="115" spans="2:27" x14ac:dyDescent="0.25">
      <c r="B115" s="143" t="s">
        <v>110</v>
      </c>
      <c r="C115" s="144">
        <f t="shared" ref="C115:AA115" si="44">C$58*Fraction_of_Credits*(Residential_Share*C$112+(1-Residential_Share)*C$113)*C$50</f>
        <v>0</v>
      </c>
      <c r="D115" s="144">
        <f t="shared" si="44"/>
        <v>0</v>
      </c>
      <c r="E115" s="144">
        <f t="shared" si="44"/>
        <v>0</v>
      </c>
      <c r="F115" s="144">
        <f t="shared" si="44"/>
        <v>0</v>
      </c>
      <c r="G115" s="144">
        <f t="shared" si="44"/>
        <v>521783.27959194477</v>
      </c>
      <c r="H115" s="144">
        <f t="shared" si="44"/>
        <v>548217.37065645983</v>
      </c>
      <c r="I115" s="144">
        <f t="shared" si="44"/>
        <v>533604.69881828548</v>
      </c>
      <c r="J115" s="144">
        <f t="shared" si="44"/>
        <v>529868.30924408766</v>
      </c>
      <c r="K115" s="144">
        <f t="shared" si="44"/>
        <v>521486.88692942192</v>
      </c>
      <c r="L115" s="144">
        <f t="shared" si="44"/>
        <v>540887.79096725816</v>
      </c>
      <c r="M115" s="144">
        <f t="shared" si="44"/>
        <v>543313.09047985473</v>
      </c>
      <c r="N115" s="144">
        <f t="shared" si="44"/>
        <v>546662.584097896</v>
      </c>
      <c r="O115" s="144">
        <f t="shared" si="44"/>
        <v>537080.45385374909</v>
      </c>
      <c r="P115" s="144">
        <f t="shared" si="44"/>
        <v>533443.09791533183</v>
      </c>
      <c r="Q115" s="144">
        <f t="shared" si="44"/>
        <v>539646.58708181186</v>
      </c>
      <c r="R115" s="144">
        <f t="shared" si="44"/>
        <v>543819.10684067372</v>
      </c>
      <c r="S115" s="144">
        <f t="shared" si="44"/>
        <v>551393.2633089968</v>
      </c>
      <c r="T115" s="144">
        <f t="shared" si="44"/>
        <v>551198.36502850219</v>
      </c>
      <c r="U115" s="144">
        <f t="shared" si="44"/>
        <v>553393.82029265573</v>
      </c>
      <c r="V115" s="144">
        <f t="shared" si="44"/>
        <v>558341.73281832004</v>
      </c>
      <c r="W115" s="144">
        <f t="shared" si="44"/>
        <v>558402.71269986581</v>
      </c>
      <c r="X115" s="144">
        <f t="shared" si="44"/>
        <v>567397.84888829198</v>
      </c>
      <c r="Y115" s="144">
        <f t="shared" si="44"/>
        <v>571190.17852171871</v>
      </c>
      <c r="Z115" s="144">
        <f t="shared" si="44"/>
        <v>581787.16864380089</v>
      </c>
      <c r="AA115" s="144">
        <f t="shared" si="44"/>
        <v>585539.32693590596</v>
      </c>
    </row>
    <row r="116" spans="2:27" x14ac:dyDescent="0.25">
      <c r="B116" s="143" t="str">
        <f>"Real "&amp;TEXT(Cash_Flow_Base_Year,"0000")&amp;" $"</f>
        <v>Real 2024 $</v>
      </c>
      <c r="C116" s="144">
        <f>C$115*C$47</f>
        <v>0</v>
      </c>
      <c r="D116" s="144">
        <f t="shared" ref="D116:AA116" si="45">D$115*D$47</f>
        <v>0</v>
      </c>
      <c r="E116" s="144">
        <f t="shared" si="45"/>
        <v>0</v>
      </c>
      <c r="F116" s="144">
        <f t="shared" si="45"/>
        <v>0</v>
      </c>
      <c r="G116" s="144">
        <f t="shared" si="45"/>
        <v>509056.85813848273</v>
      </c>
      <c r="H116" s="144">
        <f t="shared" si="45"/>
        <v>521801.18563375121</v>
      </c>
      <c r="I116" s="144">
        <f t="shared" si="45"/>
        <v>495505.00898666988</v>
      </c>
      <c r="J116" s="144">
        <f t="shared" si="45"/>
        <v>480034.53641863726</v>
      </c>
      <c r="K116" s="144">
        <f t="shared" si="45"/>
        <v>460918.42094470904</v>
      </c>
      <c r="L116" s="144">
        <f t="shared" si="45"/>
        <v>466405.84698736726</v>
      </c>
      <c r="M116" s="144">
        <f t="shared" si="45"/>
        <v>457070.41478643392</v>
      </c>
      <c r="N116" s="144">
        <f t="shared" si="45"/>
        <v>448671.44129017158</v>
      </c>
      <c r="O116" s="144">
        <f t="shared" si="45"/>
        <v>430055.55195239384</v>
      </c>
      <c r="P116" s="144">
        <f t="shared" si="45"/>
        <v>416724.89550307777</v>
      </c>
      <c r="Q116" s="144">
        <f t="shared" si="45"/>
        <v>411288.83056102914</v>
      </c>
      <c r="R116" s="144">
        <f t="shared" si="45"/>
        <v>404359.8972914663</v>
      </c>
      <c r="S116" s="144">
        <f t="shared" si="45"/>
        <v>399991.90820267505</v>
      </c>
      <c r="T116" s="144">
        <f t="shared" si="45"/>
        <v>390098.07318909699</v>
      </c>
      <c r="U116" s="144">
        <f t="shared" si="45"/>
        <v>382099.37227962218</v>
      </c>
      <c r="V116" s="144">
        <f t="shared" si="45"/>
        <v>376112.91264082497</v>
      </c>
      <c r="W116" s="144">
        <f t="shared" si="45"/>
        <v>366979.50264339143</v>
      </c>
      <c r="X116" s="144">
        <f t="shared" si="45"/>
        <v>363796.15774062223</v>
      </c>
      <c r="Y116" s="144">
        <f t="shared" si="45"/>
        <v>357295.28801810666</v>
      </c>
      <c r="Z116" s="144">
        <f t="shared" si="45"/>
        <v>355047.80395142169</v>
      </c>
      <c r="AA116" s="144">
        <f t="shared" si="45"/>
        <v>348622.0850049759</v>
      </c>
    </row>
    <row r="118" spans="2:27" x14ac:dyDescent="0.25">
      <c r="B118" s="128" t="s">
        <v>137</v>
      </c>
    </row>
    <row r="119" spans="2:27" x14ac:dyDescent="0.25">
      <c r="B119" s="75" t="s">
        <v>100</v>
      </c>
      <c r="C119" s="141">
        <f>System_Size</f>
        <v>2500</v>
      </c>
    </row>
    <row r="120" spans="2:27" x14ac:dyDescent="0.25">
      <c r="B120" s="75" t="s">
        <v>108</v>
      </c>
      <c r="C120" s="34">
        <f t="shared" ref="C120:AA120" si="46">IF((C$3&lt;=System_Age),0,(VLOOKUP(Plant_Type&amp;"-"&amp;NYISO_Zone,Forecast_Energy_Tier1,MATCH(C$2,Forecast_Energy_Header,0),FALSE)))</f>
        <v>0</v>
      </c>
      <c r="D120" s="34">
        <f t="shared" si="46"/>
        <v>0</v>
      </c>
      <c r="E120" s="34">
        <f t="shared" si="46"/>
        <v>0</v>
      </c>
      <c r="F120" s="34">
        <f t="shared" si="46"/>
        <v>0</v>
      </c>
      <c r="G120" s="34">
        <f t="shared" si="46"/>
        <v>44.117613202845881</v>
      </c>
      <c r="H120" s="34">
        <f t="shared" si="46"/>
        <v>47.064882074693024</v>
      </c>
      <c r="I120" s="34">
        <f t="shared" si="46"/>
        <v>42.469694339710024</v>
      </c>
      <c r="J120" s="34">
        <f t="shared" si="46"/>
        <v>39.717125382439981</v>
      </c>
      <c r="K120" s="34">
        <f t="shared" si="46"/>
        <v>36.656467380447125</v>
      </c>
      <c r="L120" s="34">
        <f t="shared" si="46"/>
        <v>38.044049540412736</v>
      </c>
      <c r="M120" s="34">
        <f t="shared" si="46"/>
        <v>36.548825357289203</v>
      </c>
      <c r="N120" s="34">
        <f t="shared" si="46"/>
        <v>35.332400069706871</v>
      </c>
      <c r="O120" s="34">
        <f t="shared" si="46"/>
        <v>32.378010601714969</v>
      </c>
      <c r="P120" s="34">
        <f t="shared" si="46"/>
        <v>30.257220209583632</v>
      </c>
      <c r="Q120" s="34">
        <f t="shared" si="46"/>
        <v>29.685489300576617</v>
      </c>
      <c r="R120" s="34">
        <f t="shared" si="46"/>
        <v>28.503194244385675</v>
      </c>
      <c r="S120" s="34">
        <f t="shared" si="46"/>
        <v>28.23212009815526</v>
      </c>
      <c r="T120" s="34">
        <f t="shared" si="46"/>
        <v>26.873018901378828</v>
      </c>
      <c r="U120" s="34">
        <f t="shared" si="46"/>
        <v>25.582995855748596</v>
      </c>
      <c r="V120" s="34">
        <f t="shared" si="46"/>
        <v>24.454193733936158</v>
      </c>
      <c r="W120" s="34">
        <f t="shared" si="46"/>
        <v>23.192115769075336</v>
      </c>
      <c r="X120" s="34">
        <f t="shared" si="46"/>
        <v>22.847862722005235</v>
      </c>
      <c r="Y120" s="34">
        <f t="shared" si="46"/>
        <v>21.893542247499951</v>
      </c>
      <c r="Z120" s="34">
        <f t="shared" si="46"/>
        <v>21.677165378443949</v>
      </c>
      <c r="AA120" s="34">
        <f t="shared" si="46"/>
        <v>20.823666168364291</v>
      </c>
    </row>
    <row r="121" spans="2:27" x14ac:dyDescent="0.25">
      <c r="B121" s="75" t="s">
        <v>138</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row>
    <row r="122" spans="2:27" x14ac:dyDescent="0.25">
      <c r="B122" s="143" t="s">
        <v>110</v>
      </c>
      <c r="C122" s="144">
        <f>(C$58/1000)*C$120*C$50</f>
        <v>0</v>
      </c>
      <c r="D122" s="144">
        <f t="shared" ref="D122:AA122" si="47">(D$58/1000)*D$120*D$50</f>
        <v>0</v>
      </c>
      <c r="E122" s="144">
        <f t="shared" si="47"/>
        <v>0</v>
      </c>
      <c r="F122" s="144">
        <f t="shared" si="47"/>
        <v>0</v>
      </c>
      <c r="G122" s="144">
        <f t="shared" si="47"/>
        <v>182030.13139474107</v>
      </c>
      <c r="H122" s="144">
        <f t="shared" si="47"/>
        <v>198029.84798885323</v>
      </c>
      <c r="I122" s="144">
        <f t="shared" si="47"/>
        <v>182223.25436091202</v>
      </c>
      <c r="J122" s="144">
        <f t="shared" si="47"/>
        <v>174248.93665210134</v>
      </c>
      <c r="K122" s="144">
        <f t="shared" si="47"/>
        <v>163539.43839143377</v>
      </c>
      <c r="L122" s="144">
        <f t="shared" si="47"/>
        <v>173067.14731998293</v>
      </c>
      <c r="M122" s="144">
        <f t="shared" si="47"/>
        <v>169529.55401635924</v>
      </c>
      <c r="N122" s="144">
        <f t="shared" si="47"/>
        <v>167558.09905789676</v>
      </c>
      <c r="O122" s="144">
        <f t="shared" si="47"/>
        <v>156125.60553943168</v>
      </c>
      <c r="P122" s="144">
        <f t="shared" si="47"/>
        <v>148751.2498828118</v>
      </c>
      <c r="Q122" s="144">
        <f t="shared" si="47"/>
        <v>148789.06420925807</v>
      </c>
      <c r="R122" s="144">
        <f t="shared" si="47"/>
        <v>146046.51682025738</v>
      </c>
      <c r="S122" s="144">
        <f t="shared" si="47"/>
        <v>147069.59722042177</v>
      </c>
      <c r="T122" s="144">
        <f t="shared" si="47"/>
        <v>142709.53790899715</v>
      </c>
      <c r="U122" s="144">
        <f t="shared" si="47"/>
        <v>138494.36597698217</v>
      </c>
      <c r="V122" s="144">
        <f t="shared" si="47"/>
        <v>135317.30124355273</v>
      </c>
      <c r="W122" s="144">
        <f t="shared" si="47"/>
        <v>130457.76204680932</v>
      </c>
      <c r="X122" s="144">
        <f t="shared" si="47"/>
        <v>131002.48256324927</v>
      </c>
      <c r="Y122" s="144">
        <f t="shared" si="47"/>
        <v>127950.15472919546</v>
      </c>
      <c r="Z122" s="144">
        <f t="shared" si="47"/>
        <v>129476.99849852051</v>
      </c>
      <c r="AA122" s="144">
        <f t="shared" si="47"/>
        <v>126421.91685149061</v>
      </c>
    </row>
    <row r="123" spans="2:27" x14ac:dyDescent="0.25">
      <c r="B123" s="143" t="str">
        <f>"Real "&amp;TEXT(Cash_Flow_Base_Year,"0000")&amp;" $"</f>
        <v>Real 2024 $</v>
      </c>
      <c r="C123" s="144">
        <f>C$122*C$47</f>
        <v>0</v>
      </c>
      <c r="D123" s="144">
        <f t="shared" ref="D123:AA123" si="48">D$122*D$47</f>
        <v>0</v>
      </c>
      <c r="E123" s="144">
        <f t="shared" si="48"/>
        <v>0</v>
      </c>
      <c r="F123" s="144">
        <f t="shared" si="48"/>
        <v>0</v>
      </c>
      <c r="G123" s="144">
        <f t="shared" si="48"/>
        <v>177590.37209243033</v>
      </c>
      <c r="H123" s="144">
        <f t="shared" si="48"/>
        <v>188487.66019165091</v>
      </c>
      <c r="I123" s="144">
        <f t="shared" si="48"/>
        <v>169212.40665542244</v>
      </c>
      <c r="J123" s="144">
        <f t="shared" si="48"/>
        <v>157860.93651564288</v>
      </c>
      <c r="K123" s="144">
        <f t="shared" si="48"/>
        <v>144545.03381552119</v>
      </c>
      <c r="L123" s="144">
        <f t="shared" si="48"/>
        <v>149235.25873474622</v>
      </c>
      <c r="M123" s="144">
        <f t="shared" si="48"/>
        <v>142619.32011315966</v>
      </c>
      <c r="N123" s="144">
        <f t="shared" si="48"/>
        <v>137522.73521372912</v>
      </c>
      <c r="O123" s="144">
        <f t="shared" si="48"/>
        <v>125014.20035376199</v>
      </c>
      <c r="P123" s="144">
        <f t="shared" si="48"/>
        <v>116204.23866315682</v>
      </c>
      <c r="Q123" s="144">
        <f t="shared" si="48"/>
        <v>113398.80893125755</v>
      </c>
      <c r="R123" s="144">
        <f t="shared" si="48"/>
        <v>108593.74707207101</v>
      </c>
      <c r="S123" s="144">
        <f t="shared" si="48"/>
        <v>106687.28246291487</v>
      </c>
      <c r="T123" s="144">
        <f t="shared" si="48"/>
        <v>100999.42107253434</v>
      </c>
      <c r="U123" s="144">
        <f t="shared" si="48"/>
        <v>95625.589523359289</v>
      </c>
      <c r="V123" s="144">
        <f t="shared" si="48"/>
        <v>91153.108051783827</v>
      </c>
      <c r="W123" s="144">
        <f t="shared" si="48"/>
        <v>85736.196374175488</v>
      </c>
      <c r="X123" s="144">
        <f t="shared" si="48"/>
        <v>83994.325858601893</v>
      </c>
      <c r="Y123" s="144">
        <f t="shared" si="48"/>
        <v>80036.368104657318</v>
      </c>
      <c r="Z123" s="144">
        <f t="shared" si="48"/>
        <v>79016.049952223475</v>
      </c>
      <c r="AA123" s="144">
        <f t="shared" si="48"/>
        <v>75269.875507297402</v>
      </c>
    </row>
    <row r="124" spans="2:27" x14ac:dyDescent="0.25">
      <c r="B124" s="145"/>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row>
    <row r="125" spans="2:27" x14ac:dyDescent="0.25">
      <c r="B125" s="128" t="s">
        <v>139</v>
      </c>
    </row>
    <row r="126" spans="2:27" x14ac:dyDescent="0.25">
      <c r="B126" s="75" t="s">
        <v>124</v>
      </c>
      <c r="C126" s="75">
        <f>System_Age</f>
        <v>4</v>
      </c>
    </row>
    <row r="127" spans="2:27" x14ac:dyDescent="0.25">
      <c r="B127" s="75" t="s">
        <v>100</v>
      </c>
      <c r="C127" s="141">
        <f>System_Size</f>
        <v>2500</v>
      </c>
    </row>
    <row r="128" spans="2:27" x14ac:dyDescent="0.25">
      <c r="B128" s="75" t="s">
        <v>103</v>
      </c>
      <c r="C128" s="146">
        <f t="shared" ref="C128:AA128" si="49">1-Degradation*(C$3-1)</f>
        <v>1</v>
      </c>
      <c r="D128" s="146">
        <f t="shared" si="49"/>
        <v>0.995</v>
      </c>
      <c r="E128" s="146">
        <f t="shared" si="49"/>
        <v>0.99</v>
      </c>
      <c r="F128" s="146">
        <f t="shared" si="49"/>
        <v>0.98499999999999999</v>
      </c>
      <c r="G128" s="146">
        <f t="shared" si="49"/>
        <v>0.98</v>
      </c>
      <c r="H128" s="146">
        <f t="shared" si="49"/>
        <v>0.97499999999999998</v>
      </c>
      <c r="I128" s="146">
        <f t="shared" si="49"/>
        <v>0.97</v>
      </c>
      <c r="J128" s="146">
        <f t="shared" si="49"/>
        <v>0.96499999999999997</v>
      </c>
      <c r="K128" s="146">
        <f t="shared" si="49"/>
        <v>0.96</v>
      </c>
      <c r="L128" s="146">
        <f t="shared" si="49"/>
        <v>0.95499999999999996</v>
      </c>
      <c r="M128" s="146">
        <f t="shared" si="49"/>
        <v>0.95</v>
      </c>
      <c r="N128" s="146">
        <f t="shared" si="49"/>
        <v>0.94499999999999995</v>
      </c>
      <c r="O128" s="146">
        <f t="shared" si="49"/>
        <v>0.94</v>
      </c>
      <c r="P128" s="146">
        <f t="shared" si="49"/>
        <v>0.93500000000000005</v>
      </c>
      <c r="Q128" s="146">
        <f t="shared" si="49"/>
        <v>0.92999999999999994</v>
      </c>
      <c r="R128" s="146">
        <f t="shared" si="49"/>
        <v>0.92500000000000004</v>
      </c>
      <c r="S128" s="146">
        <f t="shared" si="49"/>
        <v>0.92</v>
      </c>
      <c r="T128" s="146">
        <f t="shared" si="49"/>
        <v>0.91500000000000004</v>
      </c>
      <c r="U128" s="146">
        <f t="shared" si="49"/>
        <v>0.91</v>
      </c>
      <c r="V128" s="146">
        <f t="shared" si="49"/>
        <v>0.90500000000000003</v>
      </c>
      <c r="W128" s="146">
        <f t="shared" si="49"/>
        <v>0.9</v>
      </c>
      <c r="X128" s="146">
        <f t="shared" si="49"/>
        <v>0.89500000000000002</v>
      </c>
      <c r="Y128" s="146">
        <f t="shared" si="49"/>
        <v>0.89</v>
      </c>
      <c r="Z128" s="146">
        <f t="shared" si="49"/>
        <v>0.88500000000000001</v>
      </c>
      <c r="AA128" s="146">
        <f t="shared" si="49"/>
        <v>0.88</v>
      </c>
    </row>
    <row r="129" spans="2:27" x14ac:dyDescent="0.25">
      <c r="B129" s="75" t="s">
        <v>113</v>
      </c>
      <c r="C129" s="34">
        <f t="shared" ref="C129:AA129" si="50">IF((C$3&lt;=System_Age),0,VLOOKUP(Plant_Type&amp;"-"&amp;NYISO_Zone,Forecast_ICAP,MATCH(C$2,Forecast_ICAP_Header,0),FALSE))</f>
        <v>0</v>
      </c>
      <c r="D129" s="34">
        <f t="shared" si="50"/>
        <v>0</v>
      </c>
      <c r="E129" s="34">
        <f t="shared" si="50"/>
        <v>0</v>
      </c>
      <c r="F129" s="34">
        <f t="shared" si="50"/>
        <v>0</v>
      </c>
      <c r="G129" s="34">
        <f t="shared" si="50"/>
        <v>2.4528561751814628</v>
      </c>
      <c r="H129" s="34">
        <f t="shared" si="50"/>
        <v>2.6821445405409188</v>
      </c>
      <c r="I129" s="34">
        <f t="shared" si="50"/>
        <v>2.7827208125665677</v>
      </c>
      <c r="J129" s="34">
        <f t="shared" si="50"/>
        <v>3.193821162021838</v>
      </c>
      <c r="K129" s="34">
        <f t="shared" si="50"/>
        <v>3.1981530151961932</v>
      </c>
      <c r="L129" s="34">
        <f t="shared" si="50"/>
        <v>3.2566082351971271</v>
      </c>
      <c r="M129" s="34">
        <f t="shared" si="50"/>
        <v>3.287964796497838</v>
      </c>
      <c r="N129" s="34">
        <f t="shared" si="50"/>
        <v>3.4115197284275873</v>
      </c>
      <c r="O129" s="34">
        <f t="shared" si="50"/>
        <v>3.6816781864307315</v>
      </c>
      <c r="P129" s="34">
        <f t="shared" si="50"/>
        <v>4.2064134926071306</v>
      </c>
      <c r="Q129" s="34">
        <f t="shared" si="50"/>
        <v>5.5069583329843477</v>
      </c>
      <c r="R129" s="34">
        <f t="shared" si="50"/>
        <v>5.9831861805760793</v>
      </c>
      <c r="S129" s="34">
        <f t="shared" si="50"/>
        <v>5.8762837552432492</v>
      </c>
      <c r="T129" s="34">
        <f t="shared" si="50"/>
        <v>6.1720866009289175</v>
      </c>
      <c r="U129" s="34">
        <f t="shared" si="50"/>
        <v>6.471827181103591</v>
      </c>
      <c r="V129" s="34">
        <f t="shared" si="50"/>
        <v>6.7138908781910231</v>
      </c>
      <c r="W129" s="34">
        <f t="shared" si="50"/>
        <v>6.9573263522296322</v>
      </c>
      <c r="X129" s="34">
        <f t="shared" si="50"/>
        <v>7.0128453638053792</v>
      </c>
      <c r="Y129" s="34">
        <f t="shared" si="50"/>
        <v>7.5865631776952691</v>
      </c>
      <c r="Z129" s="34">
        <f t="shared" si="50"/>
        <v>8.2550930829357902</v>
      </c>
      <c r="AA129" s="34">
        <f t="shared" si="50"/>
        <v>8.455956561374915</v>
      </c>
    </row>
    <row r="130" spans="2:27" x14ac:dyDescent="0.25">
      <c r="B130" s="34" t="s">
        <v>140</v>
      </c>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2:27" x14ac:dyDescent="0.25">
      <c r="B131" s="143" t="s">
        <v>110</v>
      </c>
      <c r="C131" s="144">
        <f t="shared" ref="C131:AA131" si="51">System_Size*C$128*C$129*C$50</f>
        <v>0</v>
      </c>
      <c r="D131" s="144">
        <f t="shared" si="51"/>
        <v>0</v>
      </c>
      <c r="E131" s="144">
        <f t="shared" si="51"/>
        <v>0</v>
      </c>
      <c r="F131" s="144">
        <f t="shared" si="51"/>
        <v>0</v>
      </c>
      <c r="G131" s="144">
        <f t="shared" si="51"/>
        <v>6159.735069924448</v>
      </c>
      <c r="H131" s="144">
        <f t="shared" si="51"/>
        <v>6868.6997630203941</v>
      </c>
      <c r="I131" s="144">
        <f t="shared" si="51"/>
        <v>7266.9634409848977</v>
      </c>
      <c r="J131" s="144">
        <f t="shared" si="51"/>
        <v>8504.981587689872</v>
      </c>
      <c r="K131" s="144">
        <f t="shared" si="51"/>
        <v>8684.1998099373304</v>
      </c>
      <c r="L131" s="144">
        <f t="shared" si="51"/>
        <v>9016.7927873337103</v>
      </c>
      <c r="M131" s="144">
        <f t="shared" si="51"/>
        <v>9282.3476663790116</v>
      </c>
      <c r="N131" s="144">
        <f t="shared" si="51"/>
        <v>9819.9805457921429</v>
      </c>
      <c r="O131" s="144">
        <f t="shared" si="51"/>
        <v>10805.092152598932</v>
      </c>
      <c r="P131" s="144">
        <f t="shared" si="51"/>
        <v>12586.420449975883</v>
      </c>
      <c r="Q131" s="144">
        <f t="shared" si="51"/>
        <v>16799.535237529813</v>
      </c>
      <c r="R131" s="144">
        <f t="shared" si="51"/>
        <v>18608.040526421337</v>
      </c>
      <c r="S131" s="144">
        <f t="shared" si="51"/>
        <v>18631.200736366722</v>
      </c>
      <c r="T131" s="144">
        <f t="shared" si="51"/>
        <v>19949.280152310996</v>
      </c>
      <c r="U131" s="144">
        <f t="shared" si="51"/>
        <v>21323.883126648296</v>
      </c>
      <c r="V131" s="144">
        <f t="shared" si="51"/>
        <v>22549.904785961284</v>
      </c>
      <c r="W131" s="144">
        <f t="shared" si="51"/>
        <v>23819.388359672495</v>
      </c>
      <c r="X131" s="144">
        <f t="shared" si="51"/>
        <v>24472.981599475239</v>
      </c>
      <c r="Y131" s="144">
        <f t="shared" si="51"/>
        <v>26985.379907227223</v>
      </c>
      <c r="Z131" s="144">
        <f t="shared" si="51"/>
        <v>29928.335372540274</v>
      </c>
      <c r="AA131" s="144">
        <f t="shared" si="51"/>
        <v>31245.436586862594</v>
      </c>
    </row>
    <row r="132" spans="2:27" x14ac:dyDescent="0.25">
      <c r="B132" s="143" t="str">
        <f>"Real "&amp;TEXT(Cash_Flow_Base_Year,"0000")&amp;" $"</f>
        <v>Real 2024 $</v>
      </c>
      <c r="C132" s="144">
        <f>C$131*C$47</f>
        <v>0</v>
      </c>
      <c r="D132" s="144">
        <f t="shared" ref="D132:AA132" si="52">D$131*D$47</f>
        <v>0</v>
      </c>
      <c r="E132" s="144">
        <f t="shared" si="52"/>
        <v>0</v>
      </c>
      <c r="F132" s="144">
        <f t="shared" si="52"/>
        <v>0</v>
      </c>
      <c r="G132" s="144">
        <f t="shared" si="52"/>
        <v>6009.4976291945841</v>
      </c>
      <c r="H132" s="144">
        <f t="shared" si="52"/>
        <v>6537.7273175684895</v>
      </c>
      <c r="I132" s="144">
        <f t="shared" si="52"/>
        <v>6748.0979704739275</v>
      </c>
      <c r="J132" s="144">
        <f t="shared" si="52"/>
        <v>7705.0935533776837</v>
      </c>
      <c r="K132" s="144">
        <f t="shared" si="52"/>
        <v>7675.5672364708635</v>
      </c>
      <c r="L132" s="144">
        <f t="shared" si="52"/>
        <v>7775.1521615331412</v>
      </c>
      <c r="M132" s="144">
        <f t="shared" si="52"/>
        <v>7808.9163916823663</v>
      </c>
      <c r="N132" s="144">
        <f t="shared" si="52"/>
        <v>8059.7153584101761</v>
      </c>
      <c r="O132" s="144">
        <f t="shared" si="52"/>
        <v>8651.9437381122189</v>
      </c>
      <c r="P132" s="144">
        <f t="shared" si="52"/>
        <v>9832.4915389691669</v>
      </c>
      <c r="Q132" s="144">
        <f t="shared" si="52"/>
        <v>12803.678124188609</v>
      </c>
      <c r="R132" s="144">
        <f t="shared" si="52"/>
        <v>13836.118042582184</v>
      </c>
      <c r="S132" s="144">
        <f t="shared" si="52"/>
        <v>13515.452637059474</v>
      </c>
      <c r="T132" s="144">
        <f t="shared" si="52"/>
        <v>14118.648099624899</v>
      </c>
      <c r="U132" s="144">
        <f t="shared" si="52"/>
        <v>14723.406837010669</v>
      </c>
      <c r="V132" s="144">
        <f t="shared" si="52"/>
        <v>15190.178111907189</v>
      </c>
      <c r="W132" s="144">
        <f t="shared" si="52"/>
        <v>15653.984292516672</v>
      </c>
      <c r="X132" s="144">
        <f t="shared" si="52"/>
        <v>15691.241501514534</v>
      </c>
      <c r="Y132" s="144">
        <f t="shared" si="52"/>
        <v>16880.103070371973</v>
      </c>
      <c r="Z132" s="144">
        <f t="shared" si="52"/>
        <v>18264.393445995436</v>
      </c>
      <c r="AA132" s="144">
        <f t="shared" si="52"/>
        <v>18603.104435024812</v>
      </c>
    </row>
    <row r="134" spans="2:27" x14ac:dyDescent="0.25">
      <c r="B134" s="128" t="s">
        <v>141</v>
      </c>
    </row>
    <row r="135" spans="2:27" x14ac:dyDescent="0.25">
      <c r="B135" s="75" t="s">
        <v>100</v>
      </c>
      <c r="C135" s="141">
        <f>System_Size</f>
        <v>2500</v>
      </c>
    </row>
    <row r="136" spans="2:27" x14ac:dyDescent="0.25">
      <c r="B136" s="75" t="s">
        <v>124</v>
      </c>
      <c r="C136" s="141">
        <f>System_Age</f>
        <v>4</v>
      </c>
    </row>
    <row r="137" spans="2:27" x14ac:dyDescent="0.25">
      <c r="B137" s="75" t="s">
        <v>142</v>
      </c>
      <c r="C137" s="150">
        <f>VLOOKUP(Plant_Type,ModelFactors!$G$3:$I$5,Model!$C$138+1,FALSE)</f>
        <v>11.92</v>
      </c>
    </row>
    <row r="138" spans="2:27" x14ac:dyDescent="0.25">
      <c r="B138" s="75" t="s">
        <v>143</v>
      </c>
      <c r="C138" s="151">
        <f>IF(System_Size&gt;VLOOKUP(Plant_Type,ModelFactors!$G$3:$J$5,4,FALSE)*1000,2,1)</f>
        <v>1</v>
      </c>
      <c r="D138" s="137"/>
    </row>
    <row r="139" spans="2:27" x14ac:dyDescent="0.25">
      <c r="B139" s="75" t="s">
        <v>144</v>
      </c>
      <c r="C139" s="151">
        <f>VLOOKUP(Plant_Type,ModelFactors!$G$3:$J$5,4,FALSE)</f>
        <v>5</v>
      </c>
      <c r="D139" s="137"/>
    </row>
    <row r="140" spans="2:27" x14ac:dyDescent="0.25">
      <c r="B140" s="75" t="s">
        <v>145</v>
      </c>
      <c r="C140" s="152">
        <f>VLOOKUP(Plant_Type,ModelFactors!$G$3:$L$5,4+$C$138,FALSE)</f>
        <v>0.94714765100671139</v>
      </c>
      <c r="D140" s="137"/>
    </row>
    <row r="141" spans="2:27" x14ac:dyDescent="0.25">
      <c r="B141" s="75" t="s">
        <v>146</v>
      </c>
      <c r="C141" s="152">
        <f>VLOOKUP(Plant_Type,ModelFactors!$G$3:$N$5,6+$C$138,FALSE)</f>
        <v>0.31</v>
      </c>
      <c r="D141" s="137"/>
    </row>
    <row r="142" spans="2:27" x14ac:dyDescent="0.25">
      <c r="B142" s="75" t="s">
        <v>147</v>
      </c>
      <c r="C142" s="152">
        <f>$C$140*(System_Size/1000/$C$139)^($C$141-1)</f>
        <v>1.5280176949023163</v>
      </c>
    </row>
    <row r="143" spans="2:27" x14ac:dyDescent="0.25">
      <c r="B143" s="75" t="s">
        <v>38</v>
      </c>
      <c r="C143" s="150">
        <f>C$137*C$142</f>
        <v>18.21397092323561</v>
      </c>
      <c r="D143" s="137" t="s">
        <v>148</v>
      </c>
    </row>
    <row r="144" spans="2:27" x14ac:dyDescent="0.25">
      <c r="B144" s="75" t="s">
        <v>149</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row>
    <row r="145" spans="2:27" x14ac:dyDescent="0.25">
      <c r="B145" s="143" t="s">
        <v>110</v>
      </c>
      <c r="C145" s="144">
        <f t="shared" ref="C145:AA145" si="53">IF(C$3&lt;=System_Age,0,System_Size*$C$143)*C$48</f>
        <v>0</v>
      </c>
      <c r="D145" s="144">
        <f t="shared" si="53"/>
        <v>0</v>
      </c>
      <c r="E145" s="144">
        <f t="shared" si="53"/>
        <v>0</v>
      </c>
      <c r="F145" s="144">
        <f t="shared" si="53"/>
        <v>0</v>
      </c>
      <c r="G145" s="144">
        <f t="shared" si="53"/>
        <v>46673.300490791247</v>
      </c>
      <c r="H145" s="144">
        <f t="shared" si="53"/>
        <v>47840.133003061033</v>
      </c>
      <c r="I145" s="144">
        <f t="shared" si="53"/>
        <v>49036.136328137552</v>
      </c>
      <c r="J145" s="144">
        <f t="shared" si="53"/>
        <v>50262.039736340987</v>
      </c>
      <c r="K145" s="144">
        <f t="shared" si="53"/>
        <v>51518.590729749507</v>
      </c>
      <c r="L145" s="144">
        <f t="shared" si="53"/>
        <v>52806.555497993242</v>
      </c>
      <c r="M145" s="144">
        <f t="shared" si="53"/>
        <v>54126.719385443073</v>
      </c>
      <c r="N145" s="144">
        <f t="shared" si="53"/>
        <v>55479.887370079145</v>
      </c>
      <c r="O145" s="144">
        <f t="shared" si="53"/>
        <v>56866.884554331118</v>
      </c>
      <c r="P145" s="144">
        <f t="shared" si="53"/>
        <v>58288.556668189398</v>
      </c>
      <c r="Q145" s="144">
        <f t="shared" si="53"/>
        <v>59745.770584894126</v>
      </c>
      <c r="R145" s="144">
        <f t="shared" si="53"/>
        <v>61239.414849516477</v>
      </c>
      <c r="S145" s="144">
        <f t="shared" si="53"/>
        <v>62770.400220754389</v>
      </c>
      <c r="T145" s="144">
        <f t="shared" si="53"/>
        <v>64339.660226273241</v>
      </c>
      <c r="U145" s="144">
        <f t="shared" si="53"/>
        <v>65948.151731930076</v>
      </c>
      <c r="V145" s="144">
        <f t="shared" si="53"/>
        <v>67596.855525228326</v>
      </c>
      <c r="W145" s="144">
        <f t="shared" si="53"/>
        <v>69286.776913359019</v>
      </c>
      <c r="X145" s="144">
        <f t="shared" si="53"/>
        <v>71018.94633619301</v>
      </c>
      <c r="Y145" s="144">
        <f t="shared" si="53"/>
        <v>72794.419994597833</v>
      </c>
      <c r="Z145" s="144">
        <f t="shared" si="53"/>
        <v>74614.280494462771</v>
      </c>
      <c r="AA145" s="144">
        <f t="shared" si="53"/>
        <v>76479.637506824321</v>
      </c>
    </row>
    <row r="146" spans="2:27" x14ac:dyDescent="0.25">
      <c r="B146" s="143" t="str">
        <f>"Real "&amp;TEXT(Cash_Flow_Base_Year,"0000")&amp;" $"</f>
        <v>Real 2024 $</v>
      </c>
      <c r="C146" s="144">
        <f>C$145*C$47</f>
        <v>0</v>
      </c>
      <c r="D146" s="144">
        <f t="shared" ref="D146:AA146" si="54">D$145*D$47</f>
        <v>0</v>
      </c>
      <c r="E146" s="144">
        <f t="shared" si="54"/>
        <v>0</v>
      </c>
      <c r="F146" s="144">
        <f t="shared" si="54"/>
        <v>0</v>
      </c>
      <c r="G146" s="144">
        <f t="shared" si="54"/>
        <v>45534.927308089027</v>
      </c>
      <c r="H146" s="144">
        <f t="shared" si="54"/>
        <v>45534.927308089027</v>
      </c>
      <c r="I146" s="144">
        <f t="shared" si="54"/>
        <v>45534.927308089027</v>
      </c>
      <c r="J146" s="144">
        <f t="shared" si="54"/>
        <v>45534.927308089027</v>
      </c>
      <c r="K146" s="144">
        <f t="shared" si="54"/>
        <v>45534.92730808902</v>
      </c>
      <c r="L146" s="144">
        <f t="shared" si="54"/>
        <v>45534.927308089027</v>
      </c>
      <c r="M146" s="144">
        <f t="shared" si="54"/>
        <v>45534.927308089027</v>
      </c>
      <c r="N146" s="144">
        <f t="shared" si="54"/>
        <v>45534.927308089027</v>
      </c>
      <c r="O146" s="144">
        <f t="shared" si="54"/>
        <v>45534.927308089027</v>
      </c>
      <c r="P146" s="144">
        <f t="shared" si="54"/>
        <v>45534.927308089027</v>
      </c>
      <c r="Q146" s="144">
        <f t="shared" si="54"/>
        <v>45534.927308089027</v>
      </c>
      <c r="R146" s="144">
        <f t="shared" si="54"/>
        <v>45534.927308089027</v>
      </c>
      <c r="S146" s="144">
        <f t="shared" si="54"/>
        <v>45534.927308089027</v>
      </c>
      <c r="T146" s="144">
        <f t="shared" si="54"/>
        <v>45534.927308089034</v>
      </c>
      <c r="U146" s="144">
        <f t="shared" si="54"/>
        <v>45534.927308089027</v>
      </c>
      <c r="V146" s="144">
        <f t="shared" si="54"/>
        <v>45534.927308089027</v>
      </c>
      <c r="W146" s="144">
        <f t="shared" si="54"/>
        <v>45534.92730808902</v>
      </c>
      <c r="X146" s="144">
        <f t="shared" si="54"/>
        <v>45534.927308089027</v>
      </c>
      <c r="Y146" s="144">
        <f t="shared" si="54"/>
        <v>45534.927308089027</v>
      </c>
      <c r="Z146" s="144">
        <f t="shared" si="54"/>
        <v>45534.927308089027</v>
      </c>
      <c r="AA146" s="144">
        <f t="shared" si="54"/>
        <v>45534.92730808902</v>
      </c>
    </row>
    <row r="147" spans="2:27" x14ac:dyDescent="0.25">
      <c r="B147" s="145"/>
    </row>
    <row r="148" spans="2:27" x14ac:dyDescent="0.25">
      <c r="B148" s="128" t="s">
        <v>150</v>
      </c>
    </row>
    <row r="149" spans="2:27" x14ac:dyDescent="0.25">
      <c r="B149" s="75" t="s">
        <v>124</v>
      </c>
      <c r="C149" s="75">
        <f>System_Age</f>
        <v>4</v>
      </c>
    </row>
    <row r="150" spans="2:27" x14ac:dyDescent="0.25">
      <c r="B150" s="75" t="s">
        <v>151</v>
      </c>
      <c r="C150" s="144">
        <f>Ground_Lease_Ann</f>
        <v>5000</v>
      </c>
    </row>
    <row r="151" spans="2:27" x14ac:dyDescent="0.25">
      <c r="B151" s="75" t="s">
        <v>152</v>
      </c>
      <c r="C151" s="87">
        <f>Ground_Lease_Esc</f>
        <v>0.02</v>
      </c>
    </row>
    <row r="152" spans="2:27" x14ac:dyDescent="0.25">
      <c r="B152" s="75" t="s">
        <v>153</v>
      </c>
      <c r="C152" s="87"/>
    </row>
    <row r="153" spans="2:27" x14ac:dyDescent="0.25">
      <c r="B153" s="143" t="s">
        <v>110</v>
      </c>
      <c r="C153" s="144">
        <f t="shared" ref="C153:AA153" si="55">IF((C$3&lt;=System_Age),0,Ground_Lease_Ann*(1+Ground_Lease_Esc)^(C$3-1))</f>
        <v>0</v>
      </c>
      <c r="D153" s="144">
        <f t="shared" si="55"/>
        <v>0</v>
      </c>
      <c r="E153" s="144">
        <f t="shared" si="55"/>
        <v>0</v>
      </c>
      <c r="F153" s="144">
        <f t="shared" si="55"/>
        <v>0</v>
      </c>
      <c r="G153" s="144">
        <f t="shared" si="55"/>
        <v>5412.1607999999997</v>
      </c>
      <c r="H153" s="144">
        <f t="shared" si="55"/>
        <v>5520.4040160000004</v>
      </c>
      <c r="I153" s="144">
        <f t="shared" si="55"/>
        <v>5630.8120963199999</v>
      </c>
      <c r="J153" s="144">
        <f t="shared" si="55"/>
        <v>5743.4283382463991</v>
      </c>
      <c r="K153" s="144">
        <f t="shared" si="55"/>
        <v>5858.2969050113279</v>
      </c>
      <c r="L153" s="144">
        <f t="shared" si="55"/>
        <v>5975.4628431115543</v>
      </c>
      <c r="M153" s="144">
        <f t="shared" si="55"/>
        <v>6094.9720999737856</v>
      </c>
      <c r="N153" s="144">
        <f t="shared" si="55"/>
        <v>6216.8715419732598</v>
      </c>
      <c r="O153" s="144">
        <f t="shared" si="55"/>
        <v>6341.2089728127266</v>
      </c>
      <c r="P153" s="144">
        <f t="shared" si="55"/>
        <v>6468.0331522689803</v>
      </c>
      <c r="Q153" s="144">
        <f t="shared" si="55"/>
        <v>6597.3938153143608</v>
      </c>
      <c r="R153" s="144">
        <f t="shared" si="55"/>
        <v>6729.3416916206461</v>
      </c>
      <c r="S153" s="144">
        <f t="shared" si="55"/>
        <v>6863.9285254530605</v>
      </c>
      <c r="T153" s="144">
        <f t="shared" si="55"/>
        <v>7001.2070959621224</v>
      </c>
      <c r="U153" s="144">
        <f t="shared" si="55"/>
        <v>7141.231237881364</v>
      </c>
      <c r="V153" s="144">
        <f t="shared" si="55"/>
        <v>7284.0558626389902</v>
      </c>
      <c r="W153" s="144">
        <f t="shared" si="55"/>
        <v>7429.7369798917716</v>
      </c>
      <c r="X153" s="144">
        <f t="shared" si="55"/>
        <v>7578.3317194896063</v>
      </c>
      <c r="Y153" s="144">
        <f t="shared" si="55"/>
        <v>7729.8983538793982</v>
      </c>
      <c r="Z153" s="144">
        <f t="shared" si="55"/>
        <v>7884.4963209569851</v>
      </c>
      <c r="AA153" s="144">
        <f t="shared" si="55"/>
        <v>8042.1862473761248</v>
      </c>
    </row>
    <row r="154" spans="2:27" x14ac:dyDescent="0.25">
      <c r="B154" s="143" t="str">
        <f>"Real "&amp;TEXT(Cash_Flow_Base_Year,"0000")&amp;" $"</f>
        <v>Real 2024 $</v>
      </c>
      <c r="C154" s="144">
        <f>C$153*C$47</f>
        <v>0</v>
      </c>
      <c r="D154" s="144">
        <f t="shared" ref="D154:AA154" si="56">D$153*D$47</f>
        <v>0</v>
      </c>
      <c r="E154" s="144">
        <f t="shared" si="56"/>
        <v>0</v>
      </c>
      <c r="F154" s="144">
        <f t="shared" si="56"/>
        <v>0</v>
      </c>
      <c r="G154" s="144">
        <f t="shared" si="56"/>
        <v>5280.1568780487805</v>
      </c>
      <c r="H154" s="144">
        <f t="shared" si="56"/>
        <v>5254.4000152290309</v>
      </c>
      <c r="I154" s="144">
        <f t="shared" si="56"/>
        <v>5228.768795642548</v>
      </c>
      <c r="J154" s="144">
        <f t="shared" si="56"/>
        <v>5203.2626063955113</v>
      </c>
      <c r="K154" s="144">
        <f t="shared" si="56"/>
        <v>5177.8808375838262</v>
      </c>
      <c r="L154" s="144">
        <f t="shared" si="56"/>
        <v>5152.6228822785397</v>
      </c>
      <c r="M154" s="144">
        <f t="shared" si="56"/>
        <v>5127.488136511327</v>
      </c>
      <c r="N154" s="144">
        <f t="shared" si="56"/>
        <v>5102.475999260052</v>
      </c>
      <c r="O154" s="144">
        <f t="shared" si="56"/>
        <v>5077.5858724343952</v>
      </c>
      <c r="P154" s="144">
        <f t="shared" si="56"/>
        <v>5052.8171608615439</v>
      </c>
      <c r="Q154" s="144">
        <f t="shared" si="56"/>
        <v>5028.1692722719763</v>
      </c>
      <c r="R154" s="144">
        <f t="shared" si="56"/>
        <v>5003.6416172852823</v>
      </c>
      <c r="S154" s="144">
        <f t="shared" si="56"/>
        <v>4979.2336093960876</v>
      </c>
      <c r="T154" s="144">
        <f t="shared" si="56"/>
        <v>4954.9446649600104</v>
      </c>
      <c r="U154" s="144">
        <f t="shared" si="56"/>
        <v>4930.7742031797161</v>
      </c>
      <c r="V154" s="144">
        <f t="shared" si="56"/>
        <v>4906.721646091034</v>
      </c>
      <c r="W154" s="144">
        <f t="shared" si="56"/>
        <v>4882.786418549128</v>
      </c>
      <c r="X154" s="144">
        <f t="shared" si="56"/>
        <v>4858.9679482147412</v>
      </c>
      <c r="Y154" s="144">
        <f t="shared" si="56"/>
        <v>4835.2656655405226</v>
      </c>
      <c r="Z154" s="144">
        <f t="shared" si="56"/>
        <v>4811.6790037573983</v>
      </c>
      <c r="AA154" s="144">
        <f t="shared" si="56"/>
        <v>4788.2073988610209</v>
      </c>
    </row>
    <row r="155" spans="2:27" x14ac:dyDescent="0.25">
      <c r="B155" s="145"/>
    </row>
    <row r="156" spans="2:27" x14ac:dyDescent="0.25">
      <c r="B156" s="128" t="s">
        <v>154</v>
      </c>
    </row>
    <row r="157" spans="2:27" x14ac:dyDescent="0.25">
      <c r="B157" s="75" t="s">
        <v>100</v>
      </c>
      <c r="C157" s="141">
        <f>System_Size</f>
        <v>2500</v>
      </c>
    </row>
    <row r="158" spans="2:27" x14ac:dyDescent="0.25">
      <c r="B158" s="75" t="s">
        <v>124</v>
      </c>
      <c r="C158" s="75">
        <f>System_Age</f>
        <v>4</v>
      </c>
    </row>
    <row r="159" spans="2:27" x14ac:dyDescent="0.25">
      <c r="B159" s="75" t="s">
        <v>155</v>
      </c>
      <c r="C159" s="150">
        <f>Decomm_Cost_Rate</f>
        <v>1.87</v>
      </c>
    </row>
    <row r="160" spans="2:27" x14ac:dyDescent="0.25">
      <c r="B160" s="75" t="s">
        <v>156</v>
      </c>
      <c r="C160" s="149">
        <f>(1+Inflation)^(YEAR(Date_of_Operation)-Cost_Base_Year)</f>
        <v>0.92859941091974885</v>
      </c>
    </row>
    <row r="161" spans="2:27" x14ac:dyDescent="0.25">
      <c r="B161" s="75" t="s">
        <v>157</v>
      </c>
      <c r="C161" s="150"/>
    </row>
    <row r="162" spans="2:27" x14ac:dyDescent="0.25">
      <c r="B162" s="143" t="s">
        <v>110</v>
      </c>
      <c r="C162" s="144">
        <f t="shared" ref="C162:AA162" si="57">IF(C$3&lt;=System_Age,0,System_Size*Decomm_Cost_Rate)*$C$160</f>
        <v>0</v>
      </c>
      <c r="D162" s="144">
        <f t="shared" si="57"/>
        <v>0</v>
      </c>
      <c r="E162" s="144">
        <f t="shared" si="57"/>
        <v>0</v>
      </c>
      <c r="F162" s="144">
        <f t="shared" si="57"/>
        <v>0</v>
      </c>
      <c r="G162" s="144">
        <f t="shared" si="57"/>
        <v>4341.2022460498256</v>
      </c>
      <c r="H162" s="144">
        <f t="shared" si="57"/>
        <v>4341.2022460498256</v>
      </c>
      <c r="I162" s="144">
        <f t="shared" si="57"/>
        <v>4341.2022460498256</v>
      </c>
      <c r="J162" s="144">
        <f t="shared" si="57"/>
        <v>4341.2022460498256</v>
      </c>
      <c r="K162" s="144">
        <f t="shared" si="57"/>
        <v>4341.2022460498256</v>
      </c>
      <c r="L162" s="144">
        <f t="shared" si="57"/>
        <v>4341.2022460498256</v>
      </c>
      <c r="M162" s="144">
        <f t="shared" si="57"/>
        <v>4341.2022460498256</v>
      </c>
      <c r="N162" s="144">
        <f t="shared" si="57"/>
        <v>4341.2022460498256</v>
      </c>
      <c r="O162" s="144">
        <f t="shared" si="57"/>
        <v>4341.2022460498256</v>
      </c>
      <c r="P162" s="144">
        <f t="shared" si="57"/>
        <v>4341.2022460498256</v>
      </c>
      <c r="Q162" s="144">
        <f t="shared" si="57"/>
        <v>4341.2022460498256</v>
      </c>
      <c r="R162" s="144">
        <f t="shared" si="57"/>
        <v>4341.2022460498256</v>
      </c>
      <c r="S162" s="144">
        <f t="shared" si="57"/>
        <v>4341.2022460498256</v>
      </c>
      <c r="T162" s="144">
        <f t="shared" si="57"/>
        <v>4341.2022460498256</v>
      </c>
      <c r="U162" s="144">
        <f t="shared" si="57"/>
        <v>4341.2022460498256</v>
      </c>
      <c r="V162" s="144">
        <f t="shared" si="57"/>
        <v>4341.2022460498256</v>
      </c>
      <c r="W162" s="144">
        <f t="shared" si="57"/>
        <v>4341.2022460498256</v>
      </c>
      <c r="X162" s="144">
        <f t="shared" si="57"/>
        <v>4341.2022460498256</v>
      </c>
      <c r="Y162" s="144">
        <f t="shared" si="57"/>
        <v>4341.2022460498256</v>
      </c>
      <c r="Z162" s="144">
        <f t="shared" si="57"/>
        <v>4341.2022460498256</v>
      </c>
      <c r="AA162" s="144">
        <f t="shared" si="57"/>
        <v>4341.2022460498256</v>
      </c>
    </row>
    <row r="163" spans="2:27" x14ac:dyDescent="0.25">
      <c r="B163" s="143" t="str">
        <f>"Real "&amp;TEXT(Cash_Flow_Base_Year,"0000")&amp;" $"</f>
        <v>Real 2024 $</v>
      </c>
      <c r="C163" s="144">
        <f>C$162*C$47</f>
        <v>0</v>
      </c>
      <c r="D163" s="144">
        <f t="shared" ref="D163:AA163" si="58">D$162*D$47</f>
        <v>0</v>
      </c>
      <c r="E163" s="144">
        <f t="shared" si="58"/>
        <v>0</v>
      </c>
      <c r="F163" s="144">
        <f t="shared" si="58"/>
        <v>0</v>
      </c>
      <c r="G163" s="144">
        <f t="shared" si="58"/>
        <v>4235.3192644388546</v>
      </c>
      <c r="H163" s="144">
        <f t="shared" si="58"/>
        <v>4132.0187945744919</v>
      </c>
      <c r="I163" s="144">
        <f t="shared" si="58"/>
        <v>4031.2378483653588</v>
      </c>
      <c r="J163" s="144">
        <f t="shared" si="58"/>
        <v>3932.9149740149846</v>
      </c>
      <c r="K163" s="144">
        <f t="shared" si="58"/>
        <v>3836.9902185512042</v>
      </c>
      <c r="L163" s="144">
        <f t="shared" si="58"/>
        <v>3743.4050912694679</v>
      </c>
      <c r="M163" s="144">
        <f t="shared" si="58"/>
        <v>3652.1025280677736</v>
      </c>
      <c r="N163" s="144">
        <f t="shared" si="58"/>
        <v>3563.0268566514869</v>
      </c>
      <c r="O163" s="144">
        <f t="shared" si="58"/>
        <v>3476.1237625868171</v>
      </c>
      <c r="P163" s="144">
        <f t="shared" si="58"/>
        <v>3391.3402561822604</v>
      </c>
      <c r="Q163" s="144">
        <f t="shared" si="58"/>
        <v>3308.6246401778153</v>
      </c>
      <c r="R163" s="144">
        <f t="shared" si="58"/>
        <v>3227.926478222259</v>
      </c>
      <c r="S163" s="144">
        <f t="shared" si="58"/>
        <v>3149.1965641192769</v>
      </c>
      <c r="T163" s="144">
        <f t="shared" si="58"/>
        <v>3072.3868918236853</v>
      </c>
      <c r="U163" s="144">
        <f t="shared" si="58"/>
        <v>2997.4506261694487</v>
      </c>
      <c r="V163" s="144">
        <f t="shared" si="58"/>
        <v>2924.3420743116571</v>
      </c>
      <c r="W163" s="144">
        <f t="shared" si="58"/>
        <v>2853.0166578650319</v>
      </c>
      <c r="X163" s="144">
        <f t="shared" si="58"/>
        <v>2783.4308857219821</v>
      </c>
      <c r="Y163" s="144">
        <f t="shared" si="58"/>
        <v>2715.5423275336411</v>
      </c>
      <c r="Z163" s="144">
        <f t="shared" si="58"/>
        <v>2649.3095878376989</v>
      </c>
      <c r="AA163" s="144">
        <f t="shared" si="58"/>
        <v>2584.6922808172676</v>
      </c>
    </row>
    <row r="164" spans="2:27" x14ac:dyDescent="0.25">
      <c r="B164" s="145"/>
    </row>
    <row r="165" spans="2:27" x14ac:dyDescent="0.25">
      <c r="B165" s="128" t="s">
        <v>158</v>
      </c>
    </row>
    <row r="166" spans="2:27" x14ac:dyDescent="0.25">
      <c r="B166" s="75" t="s">
        <v>159</v>
      </c>
      <c r="C166" s="141">
        <f>Inverter_Size</f>
        <v>2500</v>
      </c>
    </row>
    <row r="167" spans="2:27" x14ac:dyDescent="0.25">
      <c r="B167" s="75" t="s">
        <v>50</v>
      </c>
      <c r="C167" s="75">
        <f>Inverter_Age</f>
        <v>4</v>
      </c>
    </row>
    <row r="168" spans="2:27" x14ac:dyDescent="0.25">
      <c r="B168" s="75" t="s">
        <v>160</v>
      </c>
      <c r="C168" s="75">
        <f>Inverter_Repl_Cycle</f>
        <v>15</v>
      </c>
    </row>
    <row r="169" spans="2:27" x14ac:dyDescent="0.25">
      <c r="B169" s="75" t="s">
        <v>161</v>
      </c>
      <c r="C169" s="150">
        <f>Inverter_Cost</f>
        <v>100</v>
      </c>
      <c r="D169" s="137"/>
    </row>
    <row r="170" spans="2:27" x14ac:dyDescent="0.25">
      <c r="B170" s="75" t="s">
        <v>162</v>
      </c>
      <c r="C170" s="150"/>
      <c r="D170" s="137"/>
    </row>
    <row r="171" spans="2:27" x14ac:dyDescent="0.25">
      <c r="B171" s="143" t="s">
        <v>110</v>
      </c>
      <c r="C171" s="144">
        <f t="shared" ref="C171:AA171" si="59">IF(ValGroup&lt;&gt;5,IF(C$3=Inverter_Repl_Cycle,IF(System_Age&lt;Inverter_Repl_Cycle,(Inverter_Size*Inverter_Cost),0),0),0)*C$48</f>
        <v>0</v>
      </c>
      <c r="D171" s="144">
        <f t="shared" si="59"/>
        <v>0</v>
      </c>
      <c r="E171" s="144">
        <f t="shared" si="59"/>
        <v>0</v>
      </c>
      <c r="F171" s="144">
        <f t="shared" si="59"/>
        <v>0</v>
      </c>
      <c r="G171" s="144">
        <f t="shared" si="59"/>
        <v>0</v>
      </c>
      <c r="H171" s="144">
        <f t="shared" si="59"/>
        <v>0</v>
      </c>
      <c r="I171" s="144">
        <f t="shared" si="59"/>
        <v>0</v>
      </c>
      <c r="J171" s="144">
        <f t="shared" si="59"/>
        <v>0</v>
      </c>
      <c r="K171" s="144">
        <f t="shared" si="59"/>
        <v>0</v>
      </c>
      <c r="L171" s="144">
        <f t="shared" si="59"/>
        <v>0</v>
      </c>
      <c r="M171" s="144">
        <f t="shared" si="59"/>
        <v>0</v>
      </c>
      <c r="N171" s="144">
        <f t="shared" si="59"/>
        <v>0</v>
      </c>
      <c r="O171" s="144">
        <f t="shared" si="59"/>
        <v>0</v>
      </c>
      <c r="P171" s="144">
        <f t="shared" si="59"/>
        <v>0</v>
      </c>
      <c r="Q171" s="144">
        <f t="shared" si="59"/>
        <v>328021.66445031652</v>
      </c>
      <c r="R171" s="144">
        <f t="shared" si="59"/>
        <v>0</v>
      </c>
      <c r="S171" s="144">
        <f t="shared" si="59"/>
        <v>0</v>
      </c>
      <c r="T171" s="144">
        <f t="shared" si="59"/>
        <v>0</v>
      </c>
      <c r="U171" s="144">
        <f t="shared" si="59"/>
        <v>0</v>
      </c>
      <c r="V171" s="144">
        <f t="shared" si="59"/>
        <v>0</v>
      </c>
      <c r="W171" s="144">
        <f t="shared" si="59"/>
        <v>0</v>
      </c>
      <c r="X171" s="144">
        <f t="shared" si="59"/>
        <v>0</v>
      </c>
      <c r="Y171" s="144">
        <f t="shared" si="59"/>
        <v>0</v>
      </c>
      <c r="Z171" s="144">
        <f t="shared" si="59"/>
        <v>0</v>
      </c>
      <c r="AA171" s="144">
        <f t="shared" si="59"/>
        <v>0</v>
      </c>
    </row>
    <row r="172" spans="2:27" x14ac:dyDescent="0.25">
      <c r="B172" s="143" t="str">
        <f>"Real "&amp;TEXT(Cash_Flow_Base_Year,"0000")&amp;" $"</f>
        <v>Real 2024 $</v>
      </c>
      <c r="C172" s="144">
        <f>C$171*C$47</f>
        <v>0</v>
      </c>
      <c r="D172" s="144">
        <f t="shared" ref="D172:AA172" si="60">D$171*D$47</f>
        <v>0</v>
      </c>
      <c r="E172" s="144">
        <f t="shared" si="60"/>
        <v>0</v>
      </c>
      <c r="F172" s="144">
        <f t="shared" si="60"/>
        <v>0</v>
      </c>
      <c r="G172" s="144">
        <f t="shared" si="60"/>
        <v>0</v>
      </c>
      <c r="H172" s="144">
        <f t="shared" si="60"/>
        <v>0</v>
      </c>
      <c r="I172" s="144">
        <f t="shared" si="60"/>
        <v>0</v>
      </c>
      <c r="J172" s="144">
        <f t="shared" si="60"/>
        <v>0</v>
      </c>
      <c r="K172" s="144">
        <f t="shared" si="60"/>
        <v>0</v>
      </c>
      <c r="L172" s="144">
        <f t="shared" si="60"/>
        <v>0</v>
      </c>
      <c r="M172" s="144">
        <f t="shared" si="60"/>
        <v>0</v>
      </c>
      <c r="N172" s="144">
        <f t="shared" si="60"/>
        <v>0</v>
      </c>
      <c r="O172" s="144">
        <f t="shared" si="60"/>
        <v>0</v>
      </c>
      <c r="P172" s="144">
        <f t="shared" si="60"/>
        <v>0</v>
      </c>
      <c r="Q172" s="144">
        <f t="shared" si="60"/>
        <v>250000.00000000003</v>
      </c>
      <c r="R172" s="144">
        <f t="shared" si="60"/>
        <v>0</v>
      </c>
      <c r="S172" s="144">
        <f t="shared" si="60"/>
        <v>0</v>
      </c>
      <c r="T172" s="144">
        <f t="shared" si="60"/>
        <v>0</v>
      </c>
      <c r="U172" s="144">
        <f t="shared" si="60"/>
        <v>0</v>
      </c>
      <c r="V172" s="144">
        <f t="shared" si="60"/>
        <v>0</v>
      </c>
      <c r="W172" s="144">
        <f t="shared" si="60"/>
        <v>0</v>
      </c>
      <c r="X172" s="144">
        <f t="shared" si="60"/>
        <v>0</v>
      </c>
      <c r="Y172" s="144">
        <f t="shared" si="60"/>
        <v>0</v>
      </c>
      <c r="Z172" s="144">
        <f t="shared" si="60"/>
        <v>0</v>
      </c>
      <c r="AA172" s="144">
        <f t="shared" si="60"/>
        <v>0</v>
      </c>
    </row>
    <row r="174" spans="2:27" x14ac:dyDescent="0.25">
      <c r="B174" s="128" t="s">
        <v>163</v>
      </c>
    </row>
    <row r="175" spans="2:27" x14ac:dyDescent="0.25">
      <c r="B175" s="75" t="s">
        <v>164</v>
      </c>
    </row>
    <row r="176" spans="2:27" x14ac:dyDescent="0.25">
      <c r="B176" s="143" t="s">
        <v>110</v>
      </c>
      <c r="C176" s="144">
        <f>C$65+C$74+C$88+C$97+C$106-C$145-C$153-C$162-C$171</f>
        <v>0</v>
      </c>
      <c r="D176" s="144">
        <f t="shared" ref="D176:AA176" si="61">D$65+D$74+D$88+D$97+D$106-D$145-D$153-D$162-D$171</f>
        <v>0</v>
      </c>
      <c r="E176" s="144">
        <f t="shared" si="61"/>
        <v>0</v>
      </c>
      <c r="F176" s="144">
        <f t="shared" si="61"/>
        <v>0</v>
      </c>
      <c r="G176" s="144">
        <f t="shared" si="61"/>
        <v>306488.83801280317</v>
      </c>
      <c r="H176" s="144">
        <f t="shared" si="61"/>
        <v>322011.04386680783</v>
      </c>
      <c r="I176" s="144">
        <f t="shared" si="61"/>
        <v>304992.98904002603</v>
      </c>
      <c r="J176" s="144">
        <f t="shared" si="61"/>
        <v>295269.07917862711</v>
      </c>
      <c r="K176" s="144">
        <f t="shared" si="61"/>
        <v>283266.15719005954</v>
      </c>
      <c r="L176" s="144">
        <f t="shared" si="61"/>
        <v>291592.58800411853</v>
      </c>
      <c r="M176" s="144">
        <f t="shared" si="61"/>
        <v>254710.64588166322</v>
      </c>
      <c r="N176" s="144">
        <f t="shared" si="61"/>
        <v>251199.79532978512</v>
      </c>
      <c r="O176" s="144">
        <f t="shared" si="61"/>
        <v>237817.6518557618</v>
      </c>
      <c r="P176" s="144">
        <f t="shared" si="61"/>
        <v>229795.20493941772</v>
      </c>
      <c r="Q176" s="144">
        <f t="shared" si="61"/>
        <v>-96575.621261266846</v>
      </c>
      <c r="R176" s="144">
        <f t="shared" si="61"/>
        <v>228573.72587095288</v>
      </c>
      <c r="S176" s="144">
        <f t="shared" si="61"/>
        <v>227970.78625685917</v>
      </c>
      <c r="T176" s="144">
        <f t="shared" si="61"/>
        <v>221546.01704971364</v>
      </c>
      <c r="U176" s="144">
        <f t="shared" si="61"/>
        <v>216258.87664833927</v>
      </c>
      <c r="V176" s="144">
        <f t="shared" si="61"/>
        <v>213066.45557844953</v>
      </c>
      <c r="W176" s="144">
        <f t="shared" si="61"/>
        <v>206973.14535647089</v>
      </c>
      <c r="X176" s="144">
        <f t="shared" si="61"/>
        <v>206231.73295713309</v>
      </c>
      <c r="Y176" s="144">
        <f t="shared" si="61"/>
        <v>203837.34284166055</v>
      </c>
      <c r="Z176" s="144">
        <f t="shared" si="61"/>
        <v>205027.1762937147</v>
      </c>
      <c r="AA176" s="144">
        <f t="shared" si="61"/>
        <v>201194.59164948741</v>
      </c>
    </row>
    <row r="177" spans="2:27" x14ac:dyDescent="0.25">
      <c r="B177" s="143" t="str">
        <f>"Real "&amp;TEXT(Cash_Flow_Base_Year,"0000")&amp;" $"</f>
        <v>Real 2024 $</v>
      </c>
      <c r="C177" s="144">
        <f>C$66+C$75+C$89+C$98+C$107-C$146-C$154-C$163-C$172</f>
        <v>0</v>
      </c>
      <c r="D177" s="144">
        <f t="shared" ref="D177:AA177" si="62">D$66+D$75+D$89+D$98+D$107-D$146-D$154-D$163-D$172</f>
        <v>0</v>
      </c>
      <c r="E177" s="144">
        <f t="shared" si="62"/>
        <v>0</v>
      </c>
      <c r="F177" s="144">
        <f t="shared" si="62"/>
        <v>0</v>
      </c>
      <c r="G177" s="144">
        <f t="shared" si="62"/>
        <v>299013.50050029578</v>
      </c>
      <c r="H177" s="144">
        <f t="shared" si="62"/>
        <v>306494.74728548044</v>
      </c>
      <c r="I177" s="144">
        <f t="shared" si="62"/>
        <v>283216.30995722156</v>
      </c>
      <c r="J177" s="144">
        <f t="shared" si="62"/>
        <v>267499.21267130715</v>
      </c>
      <c r="K177" s="144">
        <f t="shared" si="62"/>
        <v>250366.00756710555</v>
      </c>
      <c r="L177" s="144">
        <f t="shared" si="62"/>
        <v>251439.37477326402</v>
      </c>
      <c r="M177" s="144">
        <f t="shared" si="62"/>
        <v>214279.21138588697</v>
      </c>
      <c r="N177" s="144">
        <f t="shared" si="62"/>
        <v>206171.37060587161</v>
      </c>
      <c r="O177" s="144">
        <f t="shared" si="62"/>
        <v>190427.33877018373</v>
      </c>
      <c r="P177" s="144">
        <f t="shared" si="62"/>
        <v>179515.64682290901</v>
      </c>
      <c r="Q177" s="144">
        <f t="shared" si="62"/>
        <v>-73604.605829239852</v>
      </c>
      <c r="R177" s="144">
        <f t="shared" si="62"/>
        <v>169957.33903808004</v>
      </c>
      <c r="S177" s="144">
        <f t="shared" si="62"/>
        <v>165374.65340457924</v>
      </c>
      <c r="T177" s="144">
        <f t="shared" si="62"/>
        <v>156794.14137838228</v>
      </c>
      <c r="U177" s="144">
        <f t="shared" si="62"/>
        <v>149319.3056863691</v>
      </c>
      <c r="V177" s="144">
        <f t="shared" si="62"/>
        <v>143526.8769704226</v>
      </c>
      <c r="W177" s="144">
        <f t="shared" si="62"/>
        <v>136021.72807545229</v>
      </c>
      <c r="X177" s="144">
        <f t="shared" si="62"/>
        <v>132228.7565964426</v>
      </c>
      <c r="Y177" s="144">
        <f t="shared" si="62"/>
        <v>127505.90759096424</v>
      </c>
      <c r="Z177" s="144">
        <f t="shared" si="62"/>
        <v>125122.1281884489</v>
      </c>
      <c r="AA177" s="144">
        <f t="shared" si="62"/>
        <v>119788.50062832201</v>
      </c>
    </row>
    <row r="178" spans="2:27" x14ac:dyDescent="0.25">
      <c r="B178" s="75" t="s">
        <v>165</v>
      </c>
    </row>
    <row r="179" spans="2:27" x14ac:dyDescent="0.25">
      <c r="B179" s="143" t="s">
        <v>110</v>
      </c>
      <c r="C179" s="144">
        <f>C$115-C$145-C$153-C$162-C$171</f>
        <v>0</v>
      </c>
      <c r="D179" s="144">
        <f t="shared" ref="D179:AA179" si="63">D$115-D$145-D$153-D$162-D$171</f>
        <v>0</v>
      </c>
      <c r="E179" s="144">
        <f t="shared" si="63"/>
        <v>0</v>
      </c>
      <c r="F179" s="144">
        <f t="shared" si="63"/>
        <v>0</v>
      </c>
      <c r="G179" s="144">
        <f t="shared" si="63"/>
        <v>465356.61605510366</v>
      </c>
      <c r="H179" s="144">
        <f t="shared" si="63"/>
        <v>490515.63139134896</v>
      </c>
      <c r="I179" s="144">
        <f t="shared" si="63"/>
        <v>474596.54814777814</v>
      </c>
      <c r="J179" s="144">
        <f t="shared" si="63"/>
        <v>469521.63892345043</v>
      </c>
      <c r="K179" s="144">
        <f t="shared" si="63"/>
        <v>459768.79704861122</v>
      </c>
      <c r="L179" s="144">
        <f t="shared" si="63"/>
        <v>477764.57038010354</v>
      </c>
      <c r="M179" s="144">
        <f t="shared" si="63"/>
        <v>478750.19674838806</v>
      </c>
      <c r="N179" s="144">
        <f t="shared" si="63"/>
        <v>480624.62293979374</v>
      </c>
      <c r="O179" s="144">
        <f t="shared" si="63"/>
        <v>469531.15808055538</v>
      </c>
      <c r="P179" s="144">
        <f t="shared" si="63"/>
        <v>464345.30584882363</v>
      </c>
      <c r="Q179" s="144">
        <f t="shared" si="63"/>
        <v>140940.55598523706</v>
      </c>
      <c r="R179" s="144">
        <f t="shared" si="63"/>
        <v>471509.14805348677</v>
      </c>
      <c r="S179" s="144">
        <f t="shared" si="63"/>
        <v>477417.73231673951</v>
      </c>
      <c r="T179" s="144">
        <f t="shared" si="63"/>
        <v>475516.29546021699</v>
      </c>
      <c r="U179" s="144">
        <f t="shared" si="63"/>
        <v>475963.23507679446</v>
      </c>
      <c r="V179" s="144">
        <f t="shared" si="63"/>
        <v>479119.61918440292</v>
      </c>
      <c r="W179" s="144">
        <f t="shared" si="63"/>
        <v>477344.9965605652</v>
      </c>
      <c r="X179" s="144">
        <f t="shared" si="63"/>
        <v>484459.36858655955</v>
      </c>
      <c r="Y179" s="144">
        <f t="shared" si="63"/>
        <v>486324.65792719164</v>
      </c>
      <c r="Z179" s="144">
        <f t="shared" si="63"/>
        <v>494947.18958233134</v>
      </c>
      <c r="AA179" s="144">
        <f t="shared" si="63"/>
        <v>496676.30093565566</v>
      </c>
    </row>
    <row r="180" spans="2:27" x14ac:dyDescent="0.25">
      <c r="B180" s="143" t="str">
        <f>"Real "&amp;TEXT(Cash_Flow_Base_Year,"0000")&amp;" $"</f>
        <v>Real 2024 $</v>
      </c>
      <c r="C180" s="144">
        <f>C$116-C$146-C$154-C$163-C$172</f>
        <v>0</v>
      </c>
      <c r="D180" s="144">
        <f t="shared" ref="D180:AA180" si="64">D$116-D$146-D$154-D$163-D$172</f>
        <v>0</v>
      </c>
      <c r="E180" s="144">
        <f t="shared" si="64"/>
        <v>0</v>
      </c>
      <c r="F180" s="144">
        <f t="shared" si="64"/>
        <v>0</v>
      </c>
      <c r="G180" s="144">
        <f t="shared" si="64"/>
        <v>454006.45468790602</v>
      </c>
      <c r="H180" s="144">
        <f t="shared" si="64"/>
        <v>466879.83951585868</v>
      </c>
      <c r="I180" s="144">
        <f t="shared" si="64"/>
        <v>440710.07503457298</v>
      </c>
      <c r="J180" s="144">
        <f t="shared" si="64"/>
        <v>425363.43153013772</v>
      </c>
      <c r="K180" s="144">
        <f t="shared" si="64"/>
        <v>406368.62258048501</v>
      </c>
      <c r="L180" s="144">
        <f t="shared" si="64"/>
        <v>411974.89170573023</v>
      </c>
      <c r="M180" s="144">
        <f t="shared" si="64"/>
        <v>402755.89681376575</v>
      </c>
      <c r="N180" s="144">
        <f t="shared" si="64"/>
        <v>394471.01112617104</v>
      </c>
      <c r="O180" s="144">
        <f t="shared" si="64"/>
        <v>375966.91500928364</v>
      </c>
      <c r="P180" s="144">
        <f t="shared" si="64"/>
        <v>362745.81077794492</v>
      </c>
      <c r="Q180" s="144">
        <f t="shared" si="64"/>
        <v>107417.10934049028</v>
      </c>
      <c r="R180" s="144">
        <f t="shared" si="64"/>
        <v>350593.40188786975</v>
      </c>
      <c r="S180" s="144">
        <f t="shared" si="64"/>
        <v>346328.55072107067</v>
      </c>
      <c r="T180" s="144">
        <f t="shared" si="64"/>
        <v>336535.81432422425</v>
      </c>
      <c r="U180" s="144">
        <f t="shared" si="64"/>
        <v>328636.220142184</v>
      </c>
      <c r="V180" s="144">
        <f t="shared" si="64"/>
        <v>322746.92161233327</v>
      </c>
      <c r="W180" s="144">
        <f t="shared" si="64"/>
        <v>313708.77225888823</v>
      </c>
      <c r="X180" s="144">
        <f t="shared" si="64"/>
        <v>310618.83159859647</v>
      </c>
      <c r="Y180" s="144">
        <f t="shared" si="64"/>
        <v>304209.55271694344</v>
      </c>
      <c r="Z180" s="144">
        <f t="shared" si="64"/>
        <v>302051.88805173751</v>
      </c>
      <c r="AA180" s="144">
        <f t="shared" si="64"/>
        <v>295714.2580172086</v>
      </c>
    </row>
    <row r="181" spans="2:27" x14ac:dyDescent="0.25">
      <c r="B181" s="75" t="s">
        <v>166</v>
      </c>
    </row>
    <row r="182" spans="2:27" x14ac:dyDescent="0.25">
      <c r="B182" s="143" t="s">
        <v>110</v>
      </c>
      <c r="C182" s="144">
        <f>C$122+C$131-C$145-C$153-C$162-C$171</f>
        <v>0</v>
      </c>
      <c r="D182" s="144">
        <f t="shared" ref="D182:AA182" si="65">D$122+D$131-D$145-D$153-D$162-D$171</f>
        <v>0</v>
      </c>
      <c r="E182" s="144">
        <f t="shared" si="65"/>
        <v>0</v>
      </c>
      <c r="F182" s="144">
        <f t="shared" si="65"/>
        <v>0</v>
      </c>
      <c r="G182" s="144">
        <f t="shared" si="65"/>
        <v>131763.20292782443</v>
      </c>
      <c r="H182" s="144">
        <f t="shared" si="65"/>
        <v>147196.80848676275</v>
      </c>
      <c r="I182" s="144">
        <f t="shared" si="65"/>
        <v>130482.06713138954</v>
      </c>
      <c r="J182" s="144">
        <f t="shared" si="65"/>
        <v>122407.24791915399</v>
      </c>
      <c r="K182" s="144">
        <f t="shared" si="65"/>
        <v>110505.54832056044</v>
      </c>
      <c r="L182" s="144">
        <f t="shared" si="65"/>
        <v>118960.71952016202</v>
      </c>
      <c r="M182" s="144">
        <f t="shared" si="65"/>
        <v>114249.00795127155</v>
      </c>
      <c r="N182" s="144">
        <f t="shared" si="65"/>
        <v>111340.11844558668</v>
      </c>
      <c r="O182" s="144">
        <f t="shared" si="65"/>
        <v>99381.401918836928</v>
      </c>
      <c r="P182" s="144">
        <f t="shared" si="65"/>
        <v>92239.878266279469</v>
      </c>
      <c r="Q182" s="144">
        <f t="shared" si="65"/>
        <v>-233117.43164978694</v>
      </c>
      <c r="R182" s="144">
        <f t="shared" si="65"/>
        <v>92344.598559491773</v>
      </c>
      <c r="S182" s="144">
        <f t="shared" si="65"/>
        <v>91725.266964531242</v>
      </c>
      <c r="T182" s="144">
        <f t="shared" si="65"/>
        <v>86976.748493022969</v>
      </c>
      <c r="U182" s="144">
        <f t="shared" si="65"/>
        <v>82387.663887769188</v>
      </c>
      <c r="V182" s="144">
        <f t="shared" si="65"/>
        <v>78645.092395596876</v>
      </c>
      <c r="W182" s="144">
        <f t="shared" si="65"/>
        <v>73219.434267181205</v>
      </c>
      <c r="X182" s="144">
        <f t="shared" si="65"/>
        <v>72536.983860992055</v>
      </c>
      <c r="Y182" s="144">
        <f t="shared" si="65"/>
        <v>70070.014041895643</v>
      </c>
      <c r="Z182" s="144">
        <f t="shared" si="65"/>
        <v>72565.354809591197</v>
      </c>
      <c r="AA182" s="144">
        <f t="shared" si="65"/>
        <v>68804.327438102919</v>
      </c>
    </row>
    <row r="183" spans="2:27" x14ac:dyDescent="0.25">
      <c r="B183" s="143" t="str">
        <f>"Real "&amp;TEXT(Cash_Flow_Base_Year,"0000")&amp;" $"</f>
        <v>Real 2024 $</v>
      </c>
      <c r="C183" s="144">
        <f>C$123+C$132-C$146-C$154-C$163-C$172</f>
        <v>0</v>
      </c>
      <c r="D183" s="144">
        <f t="shared" ref="D183:AA183" si="66">D$123+D$132-D$146-D$154-D$163-D$172</f>
        <v>0</v>
      </c>
      <c r="E183" s="144">
        <f t="shared" si="66"/>
        <v>0</v>
      </c>
      <c r="F183" s="144">
        <f t="shared" si="66"/>
        <v>0</v>
      </c>
      <c r="G183" s="144">
        <f t="shared" si="66"/>
        <v>128549.46627104827</v>
      </c>
      <c r="H183" s="144">
        <f t="shared" si="66"/>
        <v>140104.04139132684</v>
      </c>
      <c r="I183" s="144">
        <f t="shared" si="66"/>
        <v>121165.57067379943</v>
      </c>
      <c r="J183" s="144">
        <f t="shared" si="66"/>
        <v>110894.92518052105</v>
      </c>
      <c r="K183" s="144">
        <f t="shared" si="66"/>
        <v>97670.802687768024</v>
      </c>
      <c r="L183" s="144">
        <f t="shared" si="66"/>
        <v>102579.45561464233</v>
      </c>
      <c r="M183" s="144">
        <f t="shared" si="66"/>
        <v>96113.718532173909</v>
      </c>
      <c r="N183" s="144">
        <f t="shared" si="66"/>
        <v>91382.020408138735</v>
      </c>
      <c r="O183" s="144">
        <f t="shared" si="66"/>
        <v>79577.507148763965</v>
      </c>
      <c r="P183" s="144">
        <f t="shared" si="66"/>
        <v>72057.645476993173</v>
      </c>
      <c r="Q183" s="144">
        <f t="shared" si="66"/>
        <v>-177669.2341650927</v>
      </c>
      <c r="R183" s="144">
        <f t="shared" si="66"/>
        <v>68663.369711056628</v>
      </c>
      <c r="S183" s="144">
        <f t="shared" si="66"/>
        <v>66539.377618369937</v>
      </c>
      <c r="T183" s="144">
        <f t="shared" si="66"/>
        <v>61555.810307286505</v>
      </c>
      <c r="U183" s="144">
        <f t="shared" si="66"/>
        <v>56885.844222931766</v>
      </c>
      <c r="V183" s="144">
        <f t="shared" si="66"/>
        <v>52977.295135199303</v>
      </c>
      <c r="W183" s="144">
        <f t="shared" si="66"/>
        <v>48119.450282188984</v>
      </c>
      <c r="X183" s="144">
        <f t="shared" si="66"/>
        <v>46508.241218090683</v>
      </c>
      <c r="Y183" s="144">
        <f t="shared" si="66"/>
        <v>43830.735873866099</v>
      </c>
      <c r="Z183" s="144">
        <f t="shared" si="66"/>
        <v>44284.527498534786</v>
      </c>
      <c r="AA183" s="144">
        <f t="shared" si="66"/>
        <v>40965.152954554906</v>
      </c>
    </row>
  </sheetData>
  <sheetProtection algorithmName="SHA-512" hashValue="flOOutCSsTsOfzZ6xKJnlzM+Ii6XC2FyThtJJcFHBrOfcJrNbQzXVfmJJ5I3yDNgCTMf0kVxVysQ0GIyetZ5Zw==" saltValue="M33WMats20M9l0oFJjJ3sQ==" spinCount="100000" sheet="1" objects="1" scenarios="1" selectLockedCells="1"/>
  <mergeCells count="4">
    <mergeCell ref="B36:C36"/>
    <mergeCell ref="D36:E36"/>
    <mergeCell ref="B39:E39"/>
    <mergeCell ref="D37:E37"/>
  </mergeCells>
  <conditionalFormatting sqref="B5:AA11">
    <cfRule type="expression" dxfId="2" priority="24">
      <formula>IF(OR(Revenue_Model="Tier 1",Revenue_Model="NEM - Net Energy Metering"),1,0)</formula>
    </cfRule>
  </conditionalFormatting>
  <conditionalFormatting sqref="B13:AA15">
    <cfRule type="expression" dxfId="1" priority="26">
      <formula>IF(OR(Revenue_Model="VDER - Value of Distributed Energy Resources",Revenue_Model="Tier 1"),1,0)</formula>
    </cfRule>
  </conditionalFormatting>
  <conditionalFormatting sqref="B17:AA20">
    <cfRule type="expression" dxfId="0" priority="27">
      <formula>IF(OR(Revenue_Model="VDER - Value of Distributed Energy Resources",Revenue_Model="NEM - Net Energy Metering"),1,0)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0023-4BF8-443F-A5AA-4758C8065937}">
  <dimension ref="A1:AD72"/>
  <sheetViews>
    <sheetView topLeftCell="B1" zoomScaleNormal="100" workbookViewId="0">
      <selection activeCell="B28" sqref="A1:XFD1048576"/>
    </sheetView>
  </sheetViews>
  <sheetFormatPr defaultColWidth="9.140625" defaultRowHeight="15" x14ac:dyDescent="0.25"/>
  <cols>
    <col min="1" max="1" width="15.42578125" style="75" customWidth="1"/>
    <col min="2" max="2" width="20.42578125" style="75" customWidth="1"/>
    <col min="3" max="3" width="18" style="75" customWidth="1"/>
    <col min="4" max="4" width="11.42578125" style="75" customWidth="1"/>
    <col min="5" max="5" width="9.7109375" style="203" customWidth="1"/>
    <col min="6" max="6" width="1.42578125" style="75" customWidth="1"/>
    <col min="7" max="7" width="18.7109375" style="75" customWidth="1"/>
    <col min="8" max="9" width="13.28515625" style="75" customWidth="1"/>
    <col min="10" max="10" width="9.42578125" style="75" customWidth="1"/>
    <col min="11" max="11" width="10.42578125" style="75" customWidth="1"/>
    <col min="12" max="12" width="10.7109375" style="75" customWidth="1"/>
    <col min="13" max="13" width="10.42578125" style="75" customWidth="1"/>
    <col min="14" max="14" width="10.7109375" style="75" customWidth="1"/>
    <col min="15" max="15" width="1.42578125" style="75" customWidth="1"/>
    <col min="16" max="16" width="18.140625" style="75" customWidth="1"/>
    <col min="17" max="17" width="21.7109375" style="196" customWidth="1"/>
    <col min="18" max="18" width="28.42578125" style="196" customWidth="1"/>
    <col min="19" max="19" width="35.7109375" style="75" customWidth="1"/>
    <col min="20" max="20" width="1.42578125" style="75" customWidth="1"/>
    <col min="21" max="21" width="13.7109375" style="75" customWidth="1"/>
    <col min="22" max="22" width="16.140625" style="75" customWidth="1"/>
    <col min="23" max="23" width="1.42578125" style="75" customWidth="1"/>
    <col min="24" max="24" width="17.42578125" style="75" customWidth="1"/>
    <col min="25" max="25" width="12.140625" style="75" customWidth="1"/>
    <col min="26" max="26" width="1.42578125" style="75" customWidth="1"/>
    <col min="27" max="27" width="5" style="75" customWidth="1"/>
    <col min="28" max="28" width="5.140625" style="75" customWidth="1"/>
    <col min="29" max="29" width="1.42578125" style="75" customWidth="1"/>
    <col min="30" max="30" width="16" style="75" customWidth="1"/>
    <col min="31" max="16384" width="9.140625" style="75"/>
  </cols>
  <sheetData>
    <row r="1" spans="1:30" x14ac:dyDescent="0.25">
      <c r="A1" s="153" t="s">
        <v>167</v>
      </c>
      <c r="B1" s="154" t="s">
        <v>167</v>
      </c>
      <c r="C1" s="154" t="s">
        <v>17</v>
      </c>
      <c r="D1" s="154" t="s">
        <v>168</v>
      </c>
      <c r="E1" s="155" t="s">
        <v>169</v>
      </c>
      <c r="G1" s="245" t="s">
        <v>170</v>
      </c>
      <c r="H1" s="240" t="s">
        <v>171</v>
      </c>
      <c r="I1" s="241"/>
      <c r="J1" s="245" t="s">
        <v>172</v>
      </c>
      <c r="K1" s="242" t="s">
        <v>145</v>
      </c>
      <c r="L1" s="242"/>
      <c r="M1" s="243" t="s">
        <v>146</v>
      </c>
      <c r="N1" s="244"/>
      <c r="P1" s="156" t="s">
        <v>173</v>
      </c>
      <c r="Q1" s="157" t="s">
        <v>174</v>
      </c>
      <c r="R1" s="157" t="s">
        <v>175</v>
      </c>
      <c r="S1" s="1" t="s">
        <v>176</v>
      </c>
      <c r="U1" s="158" t="s">
        <v>177</v>
      </c>
      <c r="V1" s="159" t="s">
        <v>6</v>
      </c>
      <c r="X1" s="156" t="s">
        <v>178</v>
      </c>
      <c r="Y1" s="160" t="s">
        <v>179</v>
      </c>
      <c r="AA1" s="158" t="s">
        <v>180</v>
      </c>
      <c r="AB1" s="160" t="s">
        <v>181</v>
      </c>
      <c r="AD1" s="161" t="s">
        <v>182</v>
      </c>
    </row>
    <row r="2" spans="1:30" x14ac:dyDescent="0.25">
      <c r="A2" s="153">
        <v>1</v>
      </c>
      <c r="B2" s="154" t="s">
        <v>183</v>
      </c>
      <c r="C2" s="154" t="s">
        <v>184</v>
      </c>
      <c r="D2" s="154" t="s">
        <v>185</v>
      </c>
      <c r="E2" s="162">
        <v>0.18755870172944997</v>
      </c>
      <c r="G2" s="246"/>
      <c r="H2" s="163" t="s">
        <v>186</v>
      </c>
      <c r="I2" s="164" t="s">
        <v>187</v>
      </c>
      <c r="J2" s="246"/>
      <c r="K2" s="163" t="s">
        <v>186</v>
      </c>
      <c r="L2" s="164" t="s">
        <v>187</v>
      </c>
      <c r="M2" s="165" t="s">
        <v>186</v>
      </c>
      <c r="N2" s="164" t="s">
        <v>187</v>
      </c>
      <c r="P2" s="166" t="s">
        <v>188</v>
      </c>
      <c r="Q2" s="167">
        <v>1.0264</v>
      </c>
      <c r="R2" s="168">
        <v>0.05</v>
      </c>
      <c r="S2" s="2">
        <v>5.9900000000000002E-2</v>
      </c>
      <c r="U2" s="153" t="s">
        <v>189</v>
      </c>
      <c r="V2" s="82" t="s">
        <v>190</v>
      </c>
      <c r="X2" s="166" t="s">
        <v>18</v>
      </c>
      <c r="Y2" s="104" t="s">
        <v>184</v>
      </c>
      <c r="AA2" s="169">
        <v>2000</v>
      </c>
      <c r="AB2" s="104">
        <f t="shared" ref="AB2:AB52" si="0">_xlfn.DAYS(DATE(AA2,12,31),DATE(AA2-1,12,31))</f>
        <v>366</v>
      </c>
      <c r="AD2" s="170" t="s">
        <v>33</v>
      </c>
    </row>
    <row r="3" spans="1:30" x14ac:dyDescent="0.25">
      <c r="A3" s="169">
        <v>1</v>
      </c>
      <c r="B3" s="171" t="s">
        <v>183</v>
      </c>
      <c r="C3" s="171" t="s">
        <v>191</v>
      </c>
      <c r="D3" s="171" t="s">
        <v>192</v>
      </c>
      <c r="E3" s="172">
        <v>0.17372944800010132</v>
      </c>
      <c r="G3" s="173" t="s">
        <v>190</v>
      </c>
      <c r="H3" s="174">
        <v>11.92</v>
      </c>
      <c r="I3" s="175">
        <v>11.29</v>
      </c>
      <c r="J3" s="176">
        <v>5</v>
      </c>
      <c r="K3" s="177">
        <f>L3*I3/H3</f>
        <v>0.94714765100671139</v>
      </c>
      <c r="L3" s="178">
        <v>1</v>
      </c>
      <c r="M3" s="177">
        <v>0.31</v>
      </c>
      <c r="N3" s="179">
        <v>1</v>
      </c>
      <c r="P3" s="166" t="s">
        <v>193</v>
      </c>
      <c r="Q3" s="167">
        <v>1.0626992561105206</v>
      </c>
      <c r="R3" s="168">
        <v>0.85399999999999998</v>
      </c>
      <c r="S3" s="2">
        <v>0.12</v>
      </c>
      <c r="U3" s="169" t="s">
        <v>189</v>
      </c>
      <c r="V3" s="82" t="s">
        <v>194</v>
      </c>
      <c r="X3" s="166" t="s">
        <v>195</v>
      </c>
      <c r="Y3" s="104" t="s">
        <v>191</v>
      </c>
      <c r="AA3" s="169">
        <v>2001</v>
      </c>
      <c r="AB3" s="104">
        <f t="shared" si="0"/>
        <v>365</v>
      </c>
      <c r="AD3" s="180" t="str">
        <f>"Real "&amp;TEXT(Cash_Flow_Base_Year,"0000")&amp;" Dollars"</f>
        <v>Real 2024 Dollars</v>
      </c>
    </row>
    <row r="4" spans="1:30" x14ac:dyDescent="0.25">
      <c r="A4" s="169">
        <v>1</v>
      </c>
      <c r="B4" s="171" t="s">
        <v>183</v>
      </c>
      <c r="C4" s="171" t="s">
        <v>196</v>
      </c>
      <c r="D4" s="171" t="s">
        <v>197</v>
      </c>
      <c r="E4" s="172">
        <v>0.18054623122969884</v>
      </c>
      <c r="G4" s="173" t="s">
        <v>194</v>
      </c>
      <c r="H4" s="181">
        <v>13.8</v>
      </c>
      <c r="I4" s="182">
        <v>13.18</v>
      </c>
      <c r="J4" s="176">
        <v>5</v>
      </c>
      <c r="K4" s="183">
        <f>L4*I4/H4</f>
        <v>0.95507246376811583</v>
      </c>
      <c r="L4" s="179">
        <v>1</v>
      </c>
      <c r="M4" s="183">
        <f>M3</f>
        <v>0.31</v>
      </c>
      <c r="N4" s="179">
        <f>N3</f>
        <v>1</v>
      </c>
      <c r="P4" s="166" t="s">
        <v>198</v>
      </c>
      <c r="Q4" s="167">
        <v>1.0626992561105206</v>
      </c>
      <c r="R4" s="168">
        <v>0.85399999999999998</v>
      </c>
      <c r="S4" s="2">
        <v>0.12</v>
      </c>
      <c r="U4" s="169" t="s">
        <v>199</v>
      </c>
      <c r="V4" s="82" t="s">
        <v>190</v>
      </c>
      <c r="X4" s="166" t="s">
        <v>200</v>
      </c>
      <c r="Y4" s="104" t="s">
        <v>196</v>
      </c>
      <c r="AA4" s="169">
        <v>2002</v>
      </c>
      <c r="AB4" s="104">
        <f t="shared" si="0"/>
        <v>365</v>
      </c>
    </row>
    <row r="5" spans="1:30" x14ac:dyDescent="0.25">
      <c r="A5" s="169">
        <v>1</v>
      </c>
      <c r="B5" s="171" t="s">
        <v>183</v>
      </c>
      <c r="C5" s="171" t="s">
        <v>201</v>
      </c>
      <c r="D5" s="171" t="s">
        <v>202</v>
      </c>
      <c r="E5" s="172">
        <v>0.1839778933771849</v>
      </c>
      <c r="G5" s="184" t="s">
        <v>7</v>
      </c>
      <c r="H5" s="185">
        <v>27.71</v>
      </c>
      <c r="I5" s="186">
        <v>26.84</v>
      </c>
      <c r="J5" s="187">
        <v>100</v>
      </c>
      <c r="K5" s="188">
        <f>L5*I5/H5</f>
        <v>0.96860339227715619</v>
      </c>
      <c r="L5" s="189">
        <v>1</v>
      </c>
      <c r="M5" s="188">
        <v>0.86</v>
      </c>
      <c r="N5" s="189">
        <v>0.98</v>
      </c>
      <c r="P5" s="166" t="s">
        <v>203</v>
      </c>
      <c r="Q5" s="167">
        <v>1.0626992561105206</v>
      </c>
      <c r="R5" s="168">
        <v>0.85399999999999998</v>
      </c>
      <c r="S5" s="2">
        <v>0.12</v>
      </c>
      <c r="U5" s="169" t="s">
        <v>199</v>
      </c>
      <c r="V5" s="82" t="s">
        <v>194</v>
      </c>
      <c r="X5" s="166" t="s">
        <v>204</v>
      </c>
      <c r="Y5" s="104" t="s">
        <v>201</v>
      </c>
      <c r="AA5" s="169">
        <v>2003</v>
      </c>
      <c r="AB5" s="104">
        <f t="shared" si="0"/>
        <v>365</v>
      </c>
    </row>
    <row r="6" spans="1:30" x14ac:dyDescent="0.25">
      <c r="A6" s="169">
        <v>1</v>
      </c>
      <c r="B6" s="171" t="s">
        <v>183</v>
      </c>
      <c r="C6" s="171" t="s">
        <v>205</v>
      </c>
      <c r="D6" s="171" t="s">
        <v>206</v>
      </c>
      <c r="E6" s="172">
        <v>0.18054623122969884</v>
      </c>
      <c r="P6" s="166" t="s">
        <v>207</v>
      </c>
      <c r="Q6" s="167">
        <v>1.0626992561105206</v>
      </c>
      <c r="R6" s="168">
        <v>0.85399999999999998</v>
      </c>
      <c r="S6" s="2">
        <v>0.12</v>
      </c>
      <c r="U6" s="169" t="s">
        <v>5</v>
      </c>
      <c r="V6" s="82" t="s">
        <v>190</v>
      </c>
      <c r="X6" s="166" t="s">
        <v>208</v>
      </c>
      <c r="Y6" s="104" t="s">
        <v>205</v>
      </c>
      <c r="AA6" s="169">
        <v>2004</v>
      </c>
      <c r="AB6" s="104">
        <f t="shared" si="0"/>
        <v>366</v>
      </c>
    </row>
    <row r="7" spans="1:30" x14ac:dyDescent="0.25">
      <c r="A7" s="169">
        <v>1</v>
      </c>
      <c r="B7" s="171" t="s">
        <v>183</v>
      </c>
      <c r="C7" s="171" t="s">
        <v>209</v>
      </c>
      <c r="D7" s="171" t="s">
        <v>210</v>
      </c>
      <c r="E7" s="172">
        <v>0.19014918655726828</v>
      </c>
      <c r="P7" s="166" t="s">
        <v>211</v>
      </c>
      <c r="Q7" s="167">
        <v>1.0840000000000001</v>
      </c>
      <c r="R7" s="168">
        <v>0.21</v>
      </c>
      <c r="S7" s="2">
        <v>2.8199999999999999E-2</v>
      </c>
      <c r="U7" s="169" t="s">
        <v>5</v>
      </c>
      <c r="V7" s="82" t="s">
        <v>194</v>
      </c>
      <c r="X7" s="166" t="s">
        <v>212</v>
      </c>
      <c r="Y7" s="104" t="s">
        <v>209</v>
      </c>
      <c r="AA7" s="169">
        <v>2005</v>
      </c>
      <c r="AB7" s="104">
        <f t="shared" si="0"/>
        <v>365</v>
      </c>
    </row>
    <row r="8" spans="1:30" x14ac:dyDescent="0.25">
      <c r="A8" s="169">
        <v>1</v>
      </c>
      <c r="B8" s="171" t="s">
        <v>183</v>
      </c>
      <c r="C8" s="171" t="s">
        <v>213</v>
      </c>
      <c r="D8" s="171" t="s">
        <v>214</v>
      </c>
      <c r="E8" s="172">
        <v>0.19205931174197832</v>
      </c>
      <c r="P8" s="166" t="s">
        <v>20</v>
      </c>
      <c r="Q8" s="167">
        <v>1.0728</v>
      </c>
      <c r="R8" s="168">
        <v>8.8999999999999996E-2</v>
      </c>
      <c r="S8" s="2">
        <v>3.1399999999999997E-2</v>
      </c>
      <c r="U8" s="190" t="s">
        <v>5</v>
      </c>
      <c r="V8" s="90" t="s">
        <v>7</v>
      </c>
      <c r="X8" s="166" t="s">
        <v>215</v>
      </c>
      <c r="Y8" s="104" t="s">
        <v>213</v>
      </c>
      <c r="AA8" s="169">
        <v>2006</v>
      </c>
      <c r="AB8" s="104">
        <f t="shared" si="0"/>
        <v>365</v>
      </c>
    </row>
    <row r="9" spans="1:30" x14ac:dyDescent="0.25">
      <c r="A9" s="169">
        <v>1</v>
      </c>
      <c r="B9" s="171" t="s">
        <v>183</v>
      </c>
      <c r="C9" s="171" t="s">
        <v>216</v>
      </c>
      <c r="D9" s="171" t="s">
        <v>217</v>
      </c>
      <c r="E9" s="172">
        <v>0.1939694369266883</v>
      </c>
      <c r="P9" s="166" t="s">
        <v>218</v>
      </c>
      <c r="Q9" s="167">
        <v>1.0798700000000001</v>
      </c>
      <c r="R9" s="168">
        <v>0.222</v>
      </c>
      <c r="S9" s="2">
        <v>9.11E-2</v>
      </c>
      <c r="X9" s="166" t="s">
        <v>219</v>
      </c>
      <c r="Y9" s="104" t="s">
        <v>216</v>
      </c>
      <c r="AA9" s="169">
        <v>2007</v>
      </c>
      <c r="AB9" s="104">
        <f t="shared" si="0"/>
        <v>365</v>
      </c>
    </row>
    <row r="10" spans="1:30" x14ac:dyDescent="0.25">
      <c r="A10" s="169">
        <v>1</v>
      </c>
      <c r="B10" s="171" t="s">
        <v>183</v>
      </c>
      <c r="C10" s="171" t="s">
        <v>220</v>
      </c>
      <c r="D10" s="171" t="s">
        <v>221</v>
      </c>
      <c r="E10" s="172">
        <v>0.1939694369266883</v>
      </c>
      <c r="P10" s="166" t="s">
        <v>222</v>
      </c>
      <c r="Q10" s="167">
        <v>1.0669</v>
      </c>
      <c r="R10" s="168">
        <v>0.33800000000000002</v>
      </c>
      <c r="S10" s="2">
        <v>0.05</v>
      </c>
      <c r="X10" s="166" t="s">
        <v>223</v>
      </c>
      <c r="Y10" s="104" t="s">
        <v>220</v>
      </c>
      <c r="AA10" s="169">
        <v>2008</v>
      </c>
      <c r="AB10" s="104">
        <f t="shared" si="0"/>
        <v>366</v>
      </c>
    </row>
    <row r="11" spans="1:30" x14ac:dyDescent="0.25">
      <c r="A11" s="169">
        <v>1</v>
      </c>
      <c r="B11" s="171" t="s">
        <v>183</v>
      </c>
      <c r="C11" s="171" t="s">
        <v>224</v>
      </c>
      <c r="D11" s="171" t="s">
        <v>225</v>
      </c>
      <c r="E11" s="172">
        <v>0.1939694369266883</v>
      </c>
      <c r="P11" s="191" t="s">
        <v>226</v>
      </c>
      <c r="Q11" s="192">
        <v>1.0692899914456799</v>
      </c>
      <c r="R11" s="193">
        <v>0.109</v>
      </c>
      <c r="S11" s="3">
        <v>3.8289999999999998E-2</v>
      </c>
      <c r="X11" s="166" t="s">
        <v>227</v>
      </c>
      <c r="Y11" s="104" t="s">
        <v>224</v>
      </c>
      <c r="AA11" s="169">
        <v>2009</v>
      </c>
      <c r="AB11" s="104">
        <f t="shared" si="0"/>
        <v>365</v>
      </c>
    </row>
    <row r="12" spans="1:30" x14ac:dyDescent="0.25">
      <c r="A12" s="190">
        <v>1</v>
      </c>
      <c r="B12" s="194" t="s">
        <v>183</v>
      </c>
      <c r="C12" s="194" t="s">
        <v>228</v>
      </c>
      <c r="D12" s="194" t="s">
        <v>229</v>
      </c>
      <c r="E12" s="195">
        <v>0.20611141185471976</v>
      </c>
      <c r="X12" s="191" t="s">
        <v>230</v>
      </c>
      <c r="Y12" s="197" t="s">
        <v>228</v>
      </c>
      <c r="AA12" s="169">
        <v>2010</v>
      </c>
      <c r="AB12" s="104">
        <f t="shared" si="0"/>
        <v>365</v>
      </c>
    </row>
    <row r="13" spans="1:30" x14ac:dyDescent="0.25">
      <c r="A13" s="153">
        <v>2</v>
      </c>
      <c r="B13" s="154" t="s">
        <v>231</v>
      </c>
      <c r="C13" s="154" t="s">
        <v>184</v>
      </c>
      <c r="D13" s="154" t="s">
        <v>232</v>
      </c>
      <c r="E13" s="162">
        <v>0.21011199300317809</v>
      </c>
      <c r="AA13" s="169">
        <v>2011</v>
      </c>
      <c r="AB13" s="104">
        <f t="shared" si="0"/>
        <v>365</v>
      </c>
    </row>
    <row r="14" spans="1:30" x14ac:dyDescent="0.25">
      <c r="A14" s="169">
        <v>2</v>
      </c>
      <c r="B14" s="171" t="s">
        <v>231</v>
      </c>
      <c r="C14" s="171" t="s">
        <v>191</v>
      </c>
      <c r="D14" s="171" t="s">
        <v>233</v>
      </c>
      <c r="E14" s="172">
        <v>0.19709678125804792</v>
      </c>
      <c r="AA14" s="169">
        <v>2012</v>
      </c>
      <c r="AB14" s="104">
        <f t="shared" si="0"/>
        <v>366</v>
      </c>
    </row>
    <row r="15" spans="1:30" x14ac:dyDescent="0.25">
      <c r="A15" s="169">
        <v>2</v>
      </c>
      <c r="B15" s="171" t="s">
        <v>231</v>
      </c>
      <c r="C15" s="171" t="s">
        <v>196</v>
      </c>
      <c r="D15" s="171" t="s">
        <v>234</v>
      </c>
      <c r="E15" s="172">
        <v>0.19950895802011934</v>
      </c>
      <c r="AA15" s="169">
        <v>2013</v>
      </c>
      <c r="AB15" s="104">
        <f t="shared" si="0"/>
        <v>365</v>
      </c>
    </row>
    <row r="16" spans="1:30" x14ac:dyDescent="0.25">
      <c r="A16" s="169">
        <v>2</v>
      </c>
      <c r="B16" s="171" t="s">
        <v>231</v>
      </c>
      <c r="C16" s="171" t="s">
        <v>201</v>
      </c>
      <c r="D16" s="171" t="s">
        <v>235</v>
      </c>
      <c r="E16" s="172">
        <v>0.2045460263423082</v>
      </c>
      <c r="AA16" s="169">
        <v>2014</v>
      </c>
      <c r="AB16" s="104">
        <f t="shared" si="0"/>
        <v>365</v>
      </c>
    </row>
    <row r="17" spans="1:28" x14ac:dyDescent="0.25">
      <c r="A17" s="169">
        <v>2</v>
      </c>
      <c r="B17" s="171" t="s">
        <v>231</v>
      </c>
      <c r="C17" s="171" t="s">
        <v>205</v>
      </c>
      <c r="D17" s="171" t="s">
        <v>236</v>
      </c>
      <c r="E17" s="172">
        <v>0.19950895802011934</v>
      </c>
      <c r="AA17" s="169">
        <v>2015</v>
      </c>
      <c r="AB17" s="104">
        <f t="shared" si="0"/>
        <v>365</v>
      </c>
    </row>
    <row r="18" spans="1:28" x14ac:dyDescent="0.25">
      <c r="A18" s="169">
        <v>2</v>
      </c>
      <c r="B18" s="171" t="s">
        <v>231</v>
      </c>
      <c r="C18" s="171" t="s">
        <v>209</v>
      </c>
      <c r="D18" s="171" t="s">
        <v>237</v>
      </c>
      <c r="E18" s="172">
        <v>0.2095294751629842</v>
      </c>
      <c r="AA18" s="169">
        <v>2016</v>
      </c>
      <c r="AB18" s="104">
        <f t="shared" si="0"/>
        <v>366</v>
      </c>
    </row>
    <row r="19" spans="1:28" x14ac:dyDescent="0.25">
      <c r="A19" s="169">
        <v>2</v>
      </c>
      <c r="B19" s="171" t="s">
        <v>231</v>
      </c>
      <c r="C19" s="171" t="s">
        <v>213</v>
      </c>
      <c r="D19" s="171" t="s">
        <v>238</v>
      </c>
      <c r="E19" s="172">
        <v>0.2128821557777667</v>
      </c>
      <c r="AA19" s="169">
        <v>2017</v>
      </c>
      <c r="AB19" s="104">
        <f t="shared" si="0"/>
        <v>365</v>
      </c>
    </row>
    <row r="20" spans="1:28" x14ac:dyDescent="0.25">
      <c r="A20" s="169">
        <v>2</v>
      </c>
      <c r="B20" s="171" t="s">
        <v>231</v>
      </c>
      <c r="C20" s="171" t="s">
        <v>216</v>
      </c>
      <c r="D20" s="171" t="s">
        <v>239</v>
      </c>
      <c r="E20" s="172">
        <v>0.21623483639254928</v>
      </c>
      <c r="AA20" s="169">
        <v>2018</v>
      </c>
      <c r="AB20" s="104">
        <f t="shared" si="0"/>
        <v>365</v>
      </c>
    </row>
    <row r="21" spans="1:28" x14ac:dyDescent="0.25">
      <c r="A21" s="169">
        <v>2</v>
      </c>
      <c r="B21" s="171" t="s">
        <v>231</v>
      </c>
      <c r="C21" s="171" t="s">
        <v>220</v>
      </c>
      <c r="D21" s="171" t="s">
        <v>240</v>
      </c>
      <c r="E21" s="172">
        <v>0.21623483639254928</v>
      </c>
      <c r="AA21" s="169">
        <v>2019</v>
      </c>
      <c r="AB21" s="104">
        <f t="shared" si="0"/>
        <v>365</v>
      </c>
    </row>
    <row r="22" spans="1:28" x14ac:dyDescent="0.25">
      <c r="A22" s="169">
        <v>2</v>
      </c>
      <c r="B22" s="171" t="s">
        <v>231</v>
      </c>
      <c r="C22" s="171" t="s">
        <v>224</v>
      </c>
      <c r="D22" s="171" t="s">
        <v>241</v>
      </c>
      <c r="E22" s="172">
        <v>0.21623483639254928</v>
      </c>
      <c r="AA22" s="169">
        <v>2020</v>
      </c>
      <c r="AB22" s="104">
        <f t="shared" si="0"/>
        <v>366</v>
      </c>
    </row>
    <row r="23" spans="1:28" x14ac:dyDescent="0.25">
      <c r="A23" s="190">
        <v>2</v>
      </c>
      <c r="B23" s="194" t="s">
        <v>231</v>
      </c>
      <c r="C23" s="194" t="s">
        <v>228</v>
      </c>
      <c r="D23" s="194" t="s">
        <v>242</v>
      </c>
      <c r="E23" s="195">
        <v>0.22963040057423109</v>
      </c>
      <c r="AA23" s="169">
        <v>2021</v>
      </c>
      <c r="AB23" s="104">
        <f t="shared" si="0"/>
        <v>365</v>
      </c>
    </row>
    <row r="24" spans="1:28" x14ac:dyDescent="0.25">
      <c r="A24" s="153">
        <v>3</v>
      </c>
      <c r="B24" s="154" t="s">
        <v>243</v>
      </c>
      <c r="C24" s="154" t="s">
        <v>184</v>
      </c>
      <c r="D24" s="154" t="s">
        <v>244</v>
      </c>
      <c r="E24" s="162">
        <v>0.19105044924288628</v>
      </c>
      <c r="AA24" s="169">
        <v>2022</v>
      </c>
      <c r="AB24" s="104">
        <f t="shared" si="0"/>
        <v>365</v>
      </c>
    </row>
    <row r="25" spans="1:28" x14ac:dyDescent="0.25">
      <c r="A25" s="169">
        <v>3</v>
      </c>
      <c r="B25" s="171" t="s">
        <v>243</v>
      </c>
      <c r="C25" s="171" t="s">
        <v>191</v>
      </c>
      <c r="D25" s="171" t="s">
        <v>245</v>
      </c>
      <c r="E25" s="172">
        <v>0.19105044924288628</v>
      </c>
      <c r="AA25" s="169">
        <v>2023</v>
      </c>
      <c r="AB25" s="104">
        <f t="shared" si="0"/>
        <v>365</v>
      </c>
    </row>
    <row r="26" spans="1:28" x14ac:dyDescent="0.25">
      <c r="A26" s="169">
        <v>3</v>
      </c>
      <c r="B26" s="171" t="s">
        <v>243</v>
      </c>
      <c r="C26" s="171" t="s">
        <v>196</v>
      </c>
      <c r="D26" s="171" t="s">
        <v>246</v>
      </c>
      <c r="E26" s="172">
        <v>0.1859520261958035</v>
      </c>
      <c r="AA26" s="169">
        <v>2024</v>
      </c>
      <c r="AB26" s="104">
        <f t="shared" si="0"/>
        <v>366</v>
      </c>
    </row>
    <row r="27" spans="1:28" x14ac:dyDescent="0.25">
      <c r="A27" s="169">
        <v>3</v>
      </c>
      <c r="B27" s="171" t="s">
        <v>243</v>
      </c>
      <c r="C27" s="171" t="s">
        <v>201</v>
      </c>
      <c r="D27" s="171" t="s">
        <v>247</v>
      </c>
      <c r="E27" s="172">
        <v>0.19515035200891084</v>
      </c>
      <c r="AA27" s="169">
        <v>2025</v>
      </c>
      <c r="AB27" s="104">
        <f t="shared" si="0"/>
        <v>365</v>
      </c>
    </row>
    <row r="28" spans="1:28" x14ac:dyDescent="0.25">
      <c r="A28" s="169">
        <v>3</v>
      </c>
      <c r="B28" s="171" t="s">
        <v>243</v>
      </c>
      <c r="C28" s="171" t="s">
        <v>205</v>
      </c>
      <c r="D28" s="171" t="s">
        <v>248</v>
      </c>
      <c r="E28" s="172">
        <v>0.19515035200891084</v>
      </c>
      <c r="AA28" s="169">
        <v>2026</v>
      </c>
      <c r="AB28" s="104">
        <f t="shared" si="0"/>
        <v>365</v>
      </c>
    </row>
    <row r="29" spans="1:28" x14ac:dyDescent="0.25">
      <c r="A29" s="169">
        <v>3</v>
      </c>
      <c r="B29" s="171" t="s">
        <v>243</v>
      </c>
      <c r="C29" s="171" t="s">
        <v>209</v>
      </c>
      <c r="D29" s="171" t="s">
        <v>249</v>
      </c>
      <c r="E29" s="172">
        <v>0.19515035200891084</v>
      </c>
      <c r="AA29" s="169">
        <v>2027</v>
      </c>
      <c r="AB29" s="104">
        <f t="shared" si="0"/>
        <v>365</v>
      </c>
    </row>
    <row r="30" spans="1:28" x14ac:dyDescent="0.25">
      <c r="A30" s="169">
        <v>3</v>
      </c>
      <c r="B30" s="171" t="s">
        <v>243</v>
      </c>
      <c r="C30" s="171" t="s">
        <v>213</v>
      </c>
      <c r="D30" s="171" t="s">
        <v>250</v>
      </c>
      <c r="E30" s="172">
        <v>0.19515035200891084</v>
      </c>
      <c r="AA30" s="169">
        <v>2028</v>
      </c>
      <c r="AB30" s="104">
        <f t="shared" si="0"/>
        <v>366</v>
      </c>
    </row>
    <row r="31" spans="1:28" x14ac:dyDescent="0.25">
      <c r="A31" s="169">
        <v>3</v>
      </c>
      <c r="B31" s="171" t="s">
        <v>243</v>
      </c>
      <c r="C31" s="171" t="s">
        <v>216</v>
      </c>
      <c r="D31" s="171" t="s">
        <v>251</v>
      </c>
      <c r="E31" s="172">
        <v>0.19515035200891084</v>
      </c>
      <c r="AA31" s="169">
        <v>2029</v>
      </c>
      <c r="AB31" s="104">
        <f t="shared" si="0"/>
        <v>365</v>
      </c>
    </row>
    <row r="32" spans="1:28" x14ac:dyDescent="0.25">
      <c r="A32" s="169">
        <v>3</v>
      </c>
      <c r="B32" s="171" t="s">
        <v>243</v>
      </c>
      <c r="C32" s="171" t="s">
        <v>220</v>
      </c>
      <c r="D32" s="171" t="s">
        <v>252</v>
      </c>
      <c r="E32" s="172">
        <v>0.19515035200891084</v>
      </c>
      <c r="AA32" s="169">
        <v>2030</v>
      </c>
      <c r="AB32" s="104">
        <f t="shared" si="0"/>
        <v>365</v>
      </c>
    </row>
    <row r="33" spans="1:28" x14ac:dyDescent="0.25">
      <c r="A33" s="169">
        <v>3</v>
      </c>
      <c r="B33" s="171" t="s">
        <v>243</v>
      </c>
      <c r="C33" s="171" t="s">
        <v>224</v>
      </c>
      <c r="D33" s="171" t="s">
        <v>253</v>
      </c>
      <c r="E33" s="172">
        <v>0.19515035200891084</v>
      </c>
      <c r="AA33" s="169">
        <v>2031</v>
      </c>
      <c r="AB33" s="104">
        <f t="shared" si="0"/>
        <v>365</v>
      </c>
    </row>
    <row r="34" spans="1:28" x14ac:dyDescent="0.25">
      <c r="A34" s="190">
        <v>3</v>
      </c>
      <c r="B34" s="194" t="s">
        <v>243</v>
      </c>
      <c r="C34" s="194" t="s">
        <v>228</v>
      </c>
      <c r="D34" s="194" t="s">
        <v>254</v>
      </c>
      <c r="E34" s="195">
        <v>0.19515035200891084</v>
      </c>
      <c r="AA34" s="169">
        <v>2032</v>
      </c>
      <c r="AB34" s="104">
        <f t="shared" si="0"/>
        <v>366</v>
      </c>
    </row>
    <row r="35" spans="1:28" x14ac:dyDescent="0.25">
      <c r="A35" s="153">
        <v>4</v>
      </c>
      <c r="B35" s="154" t="s">
        <v>255</v>
      </c>
      <c r="C35" s="154" t="s">
        <v>184</v>
      </c>
      <c r="D35" s="154" t="s">
        <v>256</v>
      </c>
      <c r="E35" s="162">
        <v>0.23339684815097766</v>
      </c>
      <c r="AA35" s="169">
        <v>2033</v>
      </c>
      <c r="AB35" s="104">
        <f t="shared" si="0"/>
        <v>365</v>
      </c>
    </row>
    <row r="36" spans="1:28" x14ac:dyDescent="0.25">
      <c r="A36" s="169">
        <v>4</v>
      </c>
      <c r="B36" s="171" t="s">
        <v>255</v>
      </c>
      <c r="C36" s="171" t="s">
        <v>191</v>
      </c>
      <c r="D36" s="171" t="s">
        <v>257</v>
      </c>
      <c r="E36" s="172">
        <v>0.23987652643201832</v>
      </c>
      <c r="AA36" s="169">
        <v>2034</v>
      </c>
      <c r="AB36" s="104">
        <f t="shared" si="0"/>
        <v>365</v>
      </c>
    </row>
    <row r="37" spans="1:28" x14ac:dyDescent="0.25">
      <c r="A37" s="169">
        <v>4</v>
      </c>
      <c r="B37" s="171" t="s">
        <v>255</v>
      </c>
      <c r="C37" s="171" t="s">
        <v>196</v>
      </c>
      <c r="D37" s="171" t="s">
        <v>258</v>
      </c>
      <c r="E37" s="172">
        <v>0.22456364081777536</v>
      </c>
      <c r="AA37" s="169">
        <v>2035</v>
      </c>
      <c r="AB37" s="104">
        <f t="shared" si="0"/>
        <v>365</v>
      </c>
    </row>
    <row r="38" spans="1:28" x14ac:dyDescent="0.25">
      <c r="A38" s="169">
        <v>4</v>
      </c>
      <c r="B38" s="171" t="s">
        <v>255</v>
      </c>
      <c r="C38" s="171" t="s">
        <v>201</v>
      </c>
      <c r="D38" s="171" t="s">
        <v>259</v>
      </c>
      <c r="E38" s="172">
        <v>0.2209892292436493</v>
      </c>
      <c r="AA38" s="169">
        <v>2036</v>
      </c>
      <c r="AB38" s="104">
        <f t="shared" si="0"/>
        <v>366</v>
      </c>
    </row>
    <row r="39" spans="1:28" x14ac:dyDescent="0.25">
      <c r="A39" s="169">
        <v>4</v>
      </c>
      <c r="B39" s="171" t="s">
        <v>255</v>
      </c>
      <c r="C39" s="171" t="s">
        <v>205</v>
      </c>
      <c r="D39" s="171" t="s">
        <v>260</v>
      </c>
      <c r="E39" s="172">
        <v>0.2209892292436493</v>
      </c>
      <c r="AA39" s="169">
        <v>2037</v>
      </c>
      <c r="AB39" s="104">
        <f t="shared" si="0"/>
        <v>365</v>
      </c>
    </row>
    <row r="40" spans="1:28" x14ac:dyDescent="0.25">
      <c r="A40" s="169">
        <v>4</v>
      </c>
      <c r="B40" s="171" t="s">
        <v>255</v>
      </c>
      <c r="C40" s="171" t="s">
        <v>209</v>
      </c>
      <c r="D40" s="171" t="s">
        <v>261</v>
      </c>
      <c r="E40" s="172">
        <v>0.22346593470602444</v>
      </c>
      <c r="AA40" s="169">
        <v>2038</v>
      </c>
      <c r="AB40" s="104">
        <f t="shared" si="0"/>
        <v>365</v>
      </c>
    </row>
    <row r="41" spans="1:28" x14ac:dyDescent="0.25">
      <c r="A41" s="169">
        <v>4</v>
      </c>
      <c r="B41" s="171" t="s">
        <v>255</v>
      </c>
      <c r="C41" s="171" t="s">
        <v>213</v>
      </c>
      <c r="D41" s="171" t="s">
        <v>262</v>
      </c>
      <c r="E41" s="172">
        <v>0.20998756314857955</v>
      </c>
      <c r="AA41" s="169">
        <v>2039</v>
      </c>
      <c r="AB41" s="104">
        <f t="shared" si="0"/>
        <v>365</v>
      </c>
    </row>
    <row r="42" spans="1:28" x14ac:dyDescent="0.25">
      <c r="A42" s="169">
        <v>4</v>
      </c>
      <c r="B42" s="171" t="s">
        <v>255</v>
      </c>
      <c r="C42" s="171" t="s">
        <v>216</v>
      </c>
      <c r="D42" s="171" t="s">
        <v>263</v>
      </c>
      <c r="E42" s="172">
        <v>0.20998756314857955</v>
      </c>
      <c r="AA42" s="169">
        <v>2040</v>
      </c>
      <c r="AB42" s="104">
        <f t="shared" si="0"/>
        <v>366</v>
      </c>
    </row>
    <row r="43" spans="1:28" x14ac:dyDescent="0.25">
      <c r="A43" s="169">
        <v>4</v>
      </c>
      <c r="B43" s="171" t="s">
        <v>255</v>
      </c>
      <c r="C43" s="171" t="s">
        <v>220</v>
      </c>
      <c r="D43" s="171" t="s">
        <v>264</v>
      </c>
      <c r="E43" s="172">
        <v>0.20998756314857955</v>
      </c>
      <c r="AA43" s="169">
        <v>2041</v>
      </c>
      <c r="AB43" s="104">
        <f t="shared" si="0"/>
        <v>365</v>
      </c>
    </row>
    <row r="44" spans="1:28" x14ac:dyDescent="0.25">
      <c r="A44" s="169">
        <v>4</v>
      </c>
      <c r="B44" s="171" t="s">
        <v>255</v>
      </c>
      <c r="C44" s="171" t="s">
        <v>224</v>
      </c>
      <c r="D44" s="171" t="s">
        <v>265</v>
      </c>
      <c r="E44" s="172">
        <v>0.20998756314857955</v>
      </c>
      <c r="Q44" s="75"/>
      <c r="R44" s="75"/>
      <c r="AA44" s="169">
        <v>2042</v>
      </c>
      <c r="AB44" s="104">
        <f t="shared" si="0"/>
        <v>365</v>
      </c>
    </row>
    <row r="45" spans="1:28" x14ac:dyDescent="0.25">
      <c r="A45" s="190">
        <v>4</v>
      </c>
      <c r="B45" s="194" t="s">
        <v>255</v>
      </c>
      <c r="C45" s="194" t="s">
        <v>228</v>
      </c>
      <c r="D45" s="194" t="s">
        <v>266</v>
      </c>
      <c r="E45" s="195">
        <v>0.20998756314857955</v>
      </c>
      <c r="Q45" s="75"/>
      <c r="R45" s="75"/>
      <c r="AA45" s="169">
        <v>2043</v>
      </c>
      <c r="AB45" s="104">
        <f t="shared" si="0"/>
        <v>365</v>
      </c>
    </row>
    <row r="46" spans="1:28" x14ac:dyDescent="0.25">
      <c r="A46" s="153">
        <v>5</v>
      </c>
      <c r="B46" s="154" t="s">
        <v>267</v>
      </c>
      <c r="C46" s="154" t="s">
        <v>184</v>
      </c>
      <c r="D46" s="154" t="s">
        <v>268</v>
      </c>
      <c r="E46" s="198" cm="1">
        <f t="array" ref="E46">INDEX('Wind Capacity Factor'!$B$4:$K$39,IFERROR(MATCH(YEAR(Date_of_Operation),'Wind Capacity Factor'!$A$4:$A$39,0),1),MATCH(VLOOKUP(C46,'Wind Capacity Factor'!$M$6:$N$16,2,FALSE),'Wind Capacity Factor'!$B$3:$K$3,0))</f>
        <v>0.36</v>
      </c>
      <c r="G46" s="199"/>
      <c r="H46" s="200"/>
      <c r="Q46" s="75"/>
      <c r="R46" s="75"/>
      <c r="AA46" s="169">
        <v>2044</v>
      </c>
      <c r="AB46" s="104">
        <f t="shared" si="0"/>
        <v>366</v>
      </c>
    </row>
    <row r="47" spans="1:28" x14ac:dyDescent="0.25">
      <c r="A47" s="169">
        <v>5</v>
      </c>
      <c r="B47" s="171" t="s">
        <v>267</v>
      </c>
      <c r="C47" s="171" t="s">
        <v>191</v>
      </c>
      <c r="D47" s="171" t="s">
        <v>269</v>
      </c>
      <c r="E47" s="201" cm="1">
        <f t="array" ref="E47">INDEX('Wind Capacity Factor'!$B$4:$K$39,IFERROR(MATCH(YEAR(Date_of_Operation),'Wind Capacity Factor'!$A$4:$A$39,0),1),MATCH(VLOOKUP(C47,'Wind Capacity Factor'!$M$6:$N$16,2,FALSE),'Wind Capacity Factor'!$B$3:$K$3,0))</f>
        <v>0.39</v>
      </c>
      <c r="H47" s="200"/>
      <c r="Q47" s="75"/>
      <c r="R47" s="75"/>
      <c r="AA47" s="169">
        <v>2045</v>
      </c>
      <c r="AB47" s="104">
        <f t="shared" si="0"/>
        <v>365</v>
      </c>
    </row>
    <row r="48" spans="1:28" x14ac:dyDescent="0.25">
      <c r="A48" s="169">
        <v>5</v>
      </c>
      <c r="B48" s="171" t="s">
        <v>267</v>
      </c>
      <c r="C48" s="171" t="s">
        <v>196</v>
      </c>
      <c r="D48" s="171" t="s">
        <v>270</v>
      </c>
      <c r="E48" s="201" cm="1">
        <f t="array" ref="E48">INDEX('Wind Capacity Factor'!$B$4:$K$39,IFERROR(MATCH(YEAR(Date_of_Operation),'Wind Capacity Factor'!$A$4:$A$39,0),1),MATCH(VLOOKUP(C48,'Wind Capacity Factor'!$M$6:$N$16,2,FALSE),'Wind Capacity Factor'!$B$3:$K$3,0))</f>
        <v>0.39</v>
      </c>
      <c r="H48" s="200"/>
      <c r="Q48" s="75"/>
      <c r="R48" s="75"/>
      <c r="AA48" s="169">
        <v>2046</v>
      </c>
      <c r="AB48" s="104">
        <f t="shared" si="0"/>
        <v>365</v>
      </c>
    </row>
    <row r="49" spans="1:28" x14ac:dyDescent="0.25">
      <c r="A49" s="169">
        <v>5</v>
      </c>
      <c r="B49" s="171" t="s">
        <v>267</v>
      </c>
      <c r="C49" s="171" t="s">
        <v>201</v>
      </c>
      <c r="D49" s="171" t="s">
        <v>271</v>
      </c>
      <c r="E49" s="201" cm="1">
        <f t="array" ref="E49">INDEX('Wind Capacity Factor'!$B$4:$K$39,IFERROR(MATCH(YEAR(Date_of_Operation),'Wind Capacity Factor'!$A$4:$A$39,0),1),MATCH(VLOOKUP(C49,'Wind Capacity Factor'!$M$6:$N$16,2,FALSE),'Wind Capacity Factor'!$B$3:$K$3,0))</f>
        <v>0.27</v>
      </c>
      <c r="H49" s="200"/>
      <c r="Q49" s="75"/>
      <c r="R49" s="75"/>
      <c r="AA49" s="169">
        <v>2047</v>
      </c>
      <c r="AB49" s="104">
        <f t="shared" si="0"/>
        <v>365</v>
      </c>
    </row>
    <row r="50" spans="1:28" x14ac:dyDescent="0.25">
      <c r="A50" s="169">
        <v>5</v>
      </c>
      <c r="B50" s="171" t="s">
        <v>267</v>
      </c>
      <c r="C50" s="171" t="s">
        <v>205</v>
      </c>
      <c r="D50" s="171" t="s">
        <v>272</v>
      </c>
      <c r="E50" s="201" cm="1">
        <f t="array" ref="E50">INDEX('Wind Capacity Factor'!$B$4:$K$39,IFERROR(MATCH(YEAR(Date_of_Operation),'Wind Capacity Factor'!$A$4:$A$39,0),1),MATCH(VLOOKUP(C50,'Wind Capacity Factor'!$M$6:$N$16,2,FALSE),'Wind Capacity Factor'!$B$3:$K$3,0))</f>
        <v>0.31</v>
      </c>
      <c r="H50" s="200"/>
      <c r="Q50" s="75"/>
      <c r="R50" s="75"/>
      <c r="AA50" s="169">
        <v>2048</v>
      </c>
      <c r="AB50" s="104">
        <f t="shared" si="0"/>
        <v>366</v>
      </c>
    </row>
    <row r="51" spans="1:28" x14ac:dyDescent="0.25">
      <c r="A51" s="169">
        <v>5</v>
      </c>
      <c r="B51" s="171" t="s">
        <v>267</v>
      </c>
      <c r="C51" s="171" t="s">
        <v>209</v>
      </c>
      <c r="D51" s="171" t="s">
        <v>273</v>
      </c>
      <c r="E51" s="201" cm="1">
        <f t="array" ref="E51">INDEX('Wind Capacity Factor'!$B$4:$K$39,IFERROR(MATCH(YEAR(Date_of_Operation),'Wind Capacity Factor'!$A$4:$A$39,0),1),MATCH(VLOOKUP(C51,'Wind Capacity Factor'!$M$6:$N$16,2,FALSE),'Wind Capacity Factor'!$B$3:$K$3,0))</f>
        <v>0.31</v>
      </c>
      <c r="H51" s="200"/>
      <c r="Q51" s="75"/>
      <c r="R51" s="75"/>
      <c r="AA51" s="169">
        <v>2049</v>
      </c>
      <c r="AB51" s="104">
        <f t="shared" si="0"/>
        <v>365</v>
      </c>
    </row>
    <row r="52" spans="1:28" x14ac:dyDescent="0.25">
      <c r="A52" s="169">
        <v>5</v>
      </c>
      <c r="B52" s="171" t="s">
        <v>267</v>
      </c>
      <c r="C52" s="171" t="s">
        <v>213</v>
      </c>
      <c r="D52" s="171" t="s">
        <v>274</v>
      </c>
      <c r="E52" s="201" cm="1">
        <f t="array" ref="E52">INDEX('Wind Capacity Factor'!$B$4:$K$39,IFERROR(MATCH(YEAR(Date_of_Operation),'Wind Capacity Factor'!$A$4:$A$39,0),1),MATCH(VLOOKUP(C52,'Wind Capacity Factor'!$M$6:$N$16,2,FALSE),'Wind Capacity Factor'!$B$3:$K$3,0))</f>
        <v>0.31</v>
      </c>
      <c r="H52" s="200"/>
      <c r="Q52" s="75"/>
      <c r="R52" s="75"/>
      <c r="AA52" s="190">
        <v>2050</v>
      </c>
      <c r="AB52" s="197">
        <f t="shared" si="0"/>
        <v>365</v>
      </c>
    </row>
    <row r="53" spans="1:28" x14ac:dyDescent="0.25">
      <c r="A53" s="169">
        <v>5</v>
      </c>
      <c r="B53" s="171" t="s">
        <v>267</v>
      </c>
      <c r="C53" s="171" t="s">
        <v>216</v>
      </c>
      <c r="D53" s="171" t="s">
        <v>275</v>
      </c>
      <c r="E53" s="201" cm="1">
        <f t="array" ref="E53">INDEX('Wind Capacity Factor'!$B$4:$K$39,IFERROR(MATCH(YEAR(Date_of_Operation),'Wind Capacity Factor'!$A$4:$A$39,0),1),MATCH(VLOOKUP(C53,'Wind Capacity Factor'!$M$6:$N$16,2,FALSE),'Wind Capacity Factor'!$B$3:$K$3,0))</f>
        <v>0.27</v>
      </c>
      <c r="H53" s="200"/>
      <c r="Q53" s="75"/>
      <c r="R53" s="75"/>
    </row>
    <row r="54" spans="1:28" x14ac:dyDescent="0.25">
      <c r="A54" s="169">
        <v>5</v>
      </c>
      <c r="B54" s="171" t="s">
        <v>267</v>
      </c>
      <c r="C54" s="171" t="s">
        <v>220</v>
      </c>
      <c r="D54" s="171" t="s">
        <v>276</v>
      </c>
      <c r="E54" s="201" cm="1">
        <f t="array" ref="E54">INDEX('Wind Capacity Factor'!$B$4:$K$39,IFERROR(MATCH(YEAR(Date_of_Operation),'Wind Capacity Factor'!$A$4:$A$39,0),1),MATCH(VLOOKUP(C54,'Wind Capacity Factor'!$M$6:$N$16,2,FALSE),'Wind Capacity Factor'!$B$3:$K$3,0))</f>
        <v>0.27</v>
      </c>
      <c r="H54" s="200"/>
      <c r="Q54" s="75"/>
      <c r="R54" s="75"/>
    </row>
    <row r="55" spans="1:28" x14ac:dyDescent="0.25">
      <c r="A55" s="169">
        <v>5</v>
      </c>
      <c r="B55" s="171" t="s">
        <v>267</v>
      </c>
      <c r="C55" s="171" t="s">
        <v>224</v>
      </c>
      <c r="D55" s="171" t="s">
        <v>277</v>
      </c>
      <c r="E55" s="201" cm="1">
        <f t="array" ref="E55">INDEX('Wind Capacity Factor'!$B$4:$K$39,IFERROR(MATCH(YEAR(Date_of_Operation),'Wind Capacity Factor'!$A$4:$A$39,0),1),MATCH(VLOOKUP(C55,'Wind Capacity Factor'!$M$6:$N$16,2,FALSE),'Wind Capacity Factor'!$B$3:$K$3,0))</f>
        <v>0.17</v>
      </c>
      <c r="H55" s="200"/>
      <c r="Q55" s="75"/>
      <c r="R55" s="75"/>
    </row>
    <row r="56" spans="1:28" x14ac:dyDescent="0.25">
      <c r="A56" s="190">
        <v>5</v>
      </c>
      <c r="B56" s="194" t="s">
        <v>267</v>
      </c>
      <c r="C56" s="194" t="s">
        <v>228</v>
      </c>
      <c r="D56" s="194" t="s">
        <v>278</v>
      </c>
      <c r="E56" s="202" cm="1">
        <f t="array" ref="E56">INDEX('Wind Capacity Factor'!$B$4:$K$39,IFERROR(MATCH(YEAR(Date_of_Operation),'Wind Capacity Factor'!$A$4:$A$39,0),1),MATCH(VLOOKUP(C56,'Wind Capacity Factor'!$M$6:$N$16,2,FALSE),'Wind Capacity Factor'!$B$3:$K$3,0))</f>
        <v>0.36</v>
      </c>
      <c r="H56" s="200"/>
      <c r="Q56" s="75"/>
      <c r="R56" s="75"/>
    </row>
    <row r="57" spans="1:28" x14ac:dyDescent="0.25">
      <c r="A57" s="153">
        <v>6</v>
      </c>
      <c r="B57" s="154" t="s">
        <v>279</v>
      </c>
      <c r="C57" s="154" t="s">
        <v>188</v>
      </c>
      <c r="D57" s="154" t="s">
        <v>280</v>
      </c>
      <c r="E57" s="162">
        <v>0.19014918655726828</v>
      </c>
      <c r="Q57" s="75"/>
      <c r="R57" s="75"/>
    </row>
    <row r="58" spans="1:28" x14ac:dyDescent="0.25">
      <c r="A58" s="169">
        <v>6</v>
      </c>
      <c r="B58" s="171" t="s">
        <v>279</v>
      </c>
      <c r="C58" s="171" t="s">
        <v>29</v>
      </c>
      <c r="D58" s="171" t="s">
        <v>281</v>
      </c>
      <c r="E58" s="172">
        <v>0.1939694369266883</v>
      </c>
      <c r="Q58" s="75"/>
      <c r="R58" s="75"/>
    </row>
    <row r="59" spans="1:28" x14ac:dyDescent="0.25">
      <c r="A59" s="169">
        <v>6</v>
      </c>
      <c r="B59" s="171" t="s">
        <v>279</v>
      </c>
      <c r="C59" s="171" t="s">
        <v>282</v>
      </c>
      <c r="D59" s="171" t="s">
        <v>283</v>
      </c>
      <c r="E59" s="172">
        <v>0.1939694369266883</v>
      </c>
      <c r="Q59" s="75"/>
      <c r="R59" s="75"/>
    </row>
    <row r="60" spans="1:28" x14ac:dyDescent="0.25">
      <c r="A60" s="169">
        <v>6</v>
      </c>
      <c r="B60" s="171" t="s">
        <v>279</v>
      </c>
      <c r="C60" s="171" t="s">
        <v>211</v>
      </c>
      <c r="D60" s="171" t="s">
        <v>284</v>
      </c>
      <c r="E60" s="172">
        <v>0.18755870172944997</v>
      </c>
      <c r="Q60" s="75"/>
      <c r="R60" s="75"/>
    </row>
    <row r="61" spans="1:28" x14ac:dyDescent="0.25">
      <c r="A61" s="169">
        <v>6</v>
      </c>
      <c r="B61" s="171" t="s">
        <v>279</v>
      </c>
      <c r="C61" s="171" t="s">
        <v>20</v>
      </c>
      <c r="D61" s="171" t="s">
        <v>285</v>
      </c>
      <c r="E61" s="172">
        <v>0.1839778933771849</v>
      </c>
      <c r="Q61" s="75"/>
      <c r="R61" s="75"/>
    </row>
    <row r="62" spans="1:28" x14ac:dyDescent="0.25">
      <c r="A62" s="169">
        <v>6</v>
      </c>
      <c r="B62" s="171" t="s">
        <v>279</v>
      </c>
      <c r="C62" s="171" t="s">
        <v>218</v>
      </c>
      <c r="D62" s="171" t="s">
        <v>286</v>
      </c>
      <c r="E62" s="172">
        <v>0.19205931174197832</v>
      </c>
    </row>
    <row r="63" spans="1:28" x14ac:dyDescent="0.25">
      <c r="A63" s="169">
        <v>6</v>
      </c>
      <c r="B63" s="171" t="s">
        <v>279</v>
      </c>
      <c r="C63" s="171" t="s">
        <v>222</v>
      </c>
      <c r="D63" s="171" t="s">
        <v>287</v>
      </c>
      <c r="E63" s="172">
        <v>0.20611141185471976</v>
      </c>
    </row>
    <row r="64" spans="1:28" x14ac:dyDescent="0.25">
      <c r="A64" s="190">
        <v>6</v>
      </c>
      <c r="B64" s="194" t="s">
        <v>279</v>
      </c>
      <c r="C64" s="194" t="s">
        <v>226</v>
      </c>
      <c r="D64" s="194" t="s">
        <v>288</v>
      </c>
      <c r="E64" s="195">
        <v>0.18054623122969884</v>
      </c>
    </row>
    <row r="65" spans="1:5" x14ac:dyDescent="0.25">
      <c r="A65" s="169">
        <v>7</v>
      </c>
      <c r="B65" s="171" t="s">
        <v>289</v>
      </c>
      <c r="C65" s="171" t="s">
        <v>188</v>
      </c>
      <c r="D65" s="171" t="s">
        <v>290</v>
      </c>
      <c r="E65" s="172">
        <v>0.2095294751629842</v>
      </c>
    </row>
    <row r="66" spans="1:5" x14ac:dyDescent="0.25">
      <c r="A66" s="169">
        <v>7</v>
      </c>
      <c r="B66" s="171" t="s">
        <v>289</v>
      </c>
      <c r="C66" s="171" t="s">
        <v>29</v>
      </c>
      <c r="D66" s="171" t="s">
        <v>291</v>
      </c>
      <c r="E66" s="172">
        <v>0.21623483639254928</v>
      </c>
    </row>
    <row r="67" spans="1:5" x14ac:dyDescent="0.25">
      <c r="A67" s="169">
        <v>7</v>
      </c>
      <c r="B67" s="171" t="s">
        <v>289</v>
      </c>
      <c r="C67" s="171" t="s">
        <v>282</v>
      </c>
      <c r="D67" s="171" t="s">
        <v>292</v>
      </c>
      <c r="E67" s="172">
        <v>0.21623483639254928</v>
      </c>
    </row>
    <row r="68" spans="1:5" x14ac:dyDescent="0.25">
      <c r="A68" s="169">
        <v>7</v>
      </c>
      <c r="B68" s="171" t="s">
        <v>289</v>
      </c>
      <c r="C68" s="171" t="s">
        <v>211</v>
      </c>
      <c r="D68" s="171" t="s">
        <v>293</v>
      </c>
      <c r="E68" s="172">
        <v>0.21011199300317809</v>
      </c>
    </row>
    <row r="69" spans="1:5" x14ac:dyDescent="0.25">
      <c r="A69" s="169">
        <v>7</v>
      </c>
      <c r="B69" s="171" t="s">
        <v>289</v>
      </c>
      <c r="C69" s="171" t="s">
        <v>20</v>
      </c>
      <c r="D69" s="171" t="s">
        <v>294</v>
      </c>
      <c r="E69" s="172">
        <v>0.2045460263423082</v>
      </c>
    </row>
    <row r="70" spans="1:5" x14ac:dyDescent="0.25">
      <c r="A70" s="169">
        <v>7</v>
      </c>
      <c r="B70" s="171" t="s">
        <v>289</v>
      </c>
      <c r="C70" s="171" t="s">
        <v>218</v>
      </c>
      <c r="D70" s="171" t="s">
        <v>295</v>
      </c>
      <c r="E70" s="172">
        <v>0.2128821557777667</v>
      </c>
    </row>
    <row r="71" spans="1:5" x14ac:dyDescent="0.25">
      <c r="A71" s="169">
        <v>7</v>
      </c>
      <c r="B71" s="171" t="s">
        <v>289</v>
      </c>
      <c r="C71" s="171" t="s">
        <v>222</v>
      </c>
      <c r="D71" s="171" t="s">
        <v>296</v>
      </c>
      <c r="E71" s="172">
        <v>0.22963040057423109</v>
      </c>
    </row>
    <row r="72" spans="1:5" x14ac:dyDescent="0.25">
      <c r="A72" s="190">
        <v>7</v>
      </c>
      <c r="B72" s="194" t="s">
        <v>289</v>
      </c>
      <c r="C72" s="194" t="s">
        <v>226</v>
      </c>
      <c r="D72" s="194" t="s">
        <v>297</v>
      </c>
      <c r="E72" s="195">
        <v>0.19950895802011934</v>
      </c>
    </row>
  </sheetData>
  <sheetProtection algorithmName="SHA-512" hashValue="/BBiOiCu5HMbf4DLWzCzRup/fwpmkwcCBYJ1sP4jQphZywF82LJk6HcOOjSgbCMdgzhKCHg63qsqQZLtwhP03A==" saltValue="i/ZQqpCx+tMzw/hatQNr7A==" spinCount="100000" sheet="1" objects="1" scenarios="1" selectLockedCells="1" selectUnlockedCells="1"/>
  <sortState xmlns:xlrd2="http://schemas.microsoft.com/office/spreadsheetml/2017/richdata2" ref="A65:E72">
    <sortCondition ref="C65:C72"/>
  </sortState>
  <mergeCells count="5">
    <mergeCell ref="H1:I1"/>
    <mergeCell ref="K1:L1"/>
    <mergeCell ref="M1:N1"/>
    <mergeCell ref="J1:J2"/>
    <mergeCell ref="G1:G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1129-72E4-D248-9B78-B1636A44022B}">
  <dimension ref="A2:P39"/>
  <sheetViews>
    <sheetView workbookViewId="0">
      <selection activeCell="I23" sqref="A1:XFD1048576"/>
    </sheetView>
  </sheetViews>
  <sheetFormatPr defaultColWidth="10.7109375" defaultRowHeight="15" x14ac:dyDescent="0.25"/>
  <cols>
    <col min="1" max="13" width="10.7109375" style="204"/>
    <col min="14" max="14" width="16.7109375" style="204" customWidth="1"/>
    <col min="15" max="16384" width="10.7109375" style="204"/>
  </cols>
  <sheetData>
    <row r="2" spans="1:16" x14ac:dyDescent="0.25">
      <c r="P2" s="205" t="s">
        <v>411</v>
      </c>
    </row>
    <row r="3" spans="1:16" x14ac:dyDescent="0.25">
      <c r="A3" s="127" t="s">
        <v>180</v>
      </c>
      <c r="B3" s="206" t="s">
        <v>298</v>
      </c>
      <c r="C3" s="206" t="s">
        <v>299</v>
      </c>
      <c r="D3" s="206" t="s">
        <v>300</v>
      </c>
      <c r="E3" s="206" t="s">
        <v>301</v>
      </c>
      <c r="F3" s="206" t="s">
        <v>302</v>
      </c>
      <c r="G3" s="206" t="s">
        <v>303</v>
      </c>
      <c r="H3" s="206" t="s">
        <v>304</v>
      </c>
      <c r="I3" s="206" t="s">
        <v>305</v>
      </c>
      <c r="J3" s="206" t="s">
        <v>306</v>
      </c>
      <c r="K3" s="207" t="s">
        <v>307</v>
      </c>
    </row>
    <row r="4" spans="1:16" x14ac:dyDescent="0.25">
      <c r="A4" s="121">
        <v>2015</v>
      </c>
      <c r="B4" s="208">
        <v>0.48997880883527117</v>
      </c>
      <c r="C4" s="209">
        <f>C5</f>
        <v>0.49139785000000002</v>
      </c>
      <c r="D4" s="208">
        <v>0.46287689735087051</v>
      </c>
      <c r="E4" s="209">
        <f>E5</f>
        <v>0.46660554999999998</v>
      </c>
      <c r="F4" s="208">
        <v>0.43950175601547609</v>
      </c>
      <c r="G4" s="208">
        <v>0.3790649778445811</v>
      </c>
      <c r="H4" s="208">
        <v>0.32023156424456123</v>
      </c>
      <c r="I4" s="210">
        <f>I5</f>
        <v>0.26080181666666669</v>
      </c>
      <c r="J4" s="210">
        <f>J5</f>
        <v>0.19816025714285715</v>
      </c>
      <c r="K4" s="211">
        <f>K5</f>
        <v>0.12280647</v>
      </c>
    </row>
    <row r="5" spans="1:16" x14ac:dyDescent="0.25">
      <c r="A5" s="121">
        <v>2016</v>
      </c>
      <c r="B5" s="208">
        <v>0.5115685106238268</v>
      </c>
      <c r="C5" s="208">
        <v>0.49139785000000002</v>
      </c>
      <c r="D5" s="208">
        <v>0.47955420000000004</v>
      </c>
      <c r="E5" s="208">
        <v>0.46660554999999998</v>
      </c>
      <c r="F5" s="208">
        <v>0.45028949999999995</v>
      </c>
      <c r="G5" s="208">
        <v>0.4030543730769231</v>
      </c>
      <c r="H5" s="208">
        <v>0.3338992409090909</v>
      </c>
      <c r="I5" s="208">
        <v>0.26080181666666669</v>
      </c>
      <c r="J5" s="208">
        <v>0.19816025714285715</v>
      </c>
      <c r="K5" s="212">
        <v>0.12280647</v>
      </c>
      <c r="M5" s="115" t="s">
        <v>17</v>
      </c>
      <c r="N5" s="127" t="s">
        <v>308</v>
      </c>
    </row>
    <row r="6" spans="1:16" x14ac:dyDescent="0.25">
      <c r="A6" s="121">
        <v>2017</v>
      </c>
      <c r="B6" s="208">
        <v>0.473521711974146</v>
      </c>
      <c r="C6" s="208">
        <v>0.46196422724106501</v>
      </c>
      <c r="D6" s="208">
        <v>0.44969393646266098</v>
      </c>
      <c r="E6" s="208">
        <v>0.43522297025680401</v>
      </c>
      <c r="F6" s="208">
        <v>0.40730649949589298</v>
      </c>
      <c r="G6" s="208">
        <v>0.36366571999053598</v>
      </c>
      <c r="H6" s="208">
        <v>0.30817794465054799</v>
      </c>
      <c r="I6" s="208">
        <v>0.24565601942807799</v>
      </c>
      <c r="J6" s="208">
        <v>0.18251549436984901</v>
      </c>
      <c r="K6" s="212">
        <v>0.111049550321784</v>
      </c>
      <c r="M6" s="213" t="s">
        <v>184</v>
      </c>
      <c r="N6" s="214" t="s">
        <v>304</v>
      </c>
    </row>
    <row r="7" spans="1:16" x14ac:dyDescent="0.25">
      <c r="A7" s="121">
        <v>2018</v>
      </c>
      <c r="B7" s="208">
        <v>0.47660855404916502</v>
      </c>
      <c r="C7" s="208">
        <v>0.46510666372613801</v>
      </c>
      <c r="D7" s="208">
        <v>0.45327436091803402</v>
      </c>
      <c r="E7" s="208">
        <v>0.43896298582938398</v>
      </c>
      <c r="F7" s="208">
        <v>0.411686043406085</v>
      </c>
      <c r="G7" s="208">
        <v>0.36888912141143099</v>
      </c>
      <c r="H7" s="208">
        <v>0.31359723218580099</v>
      </c>
      <c r="I7" s="208">
        <v>0.25045142716823698</v>
      </c>
      <c r="J7" s="208">
        <v>0.18742300313685201</v>
      </c>
      <c r="K7" s="212">
        <v>0.114581586146978</v>
      </c>
      <c r="M7" s="176" t="s">
        <v>191</v>
      </c>
      <c r="N7" s="214" t="s">
        <v>303</v>
      </c>
    </row>
    <row r="8" spans="1:16" x14ac:dyDescent="0.25">
      <c r="A8" s="121">
        <v>2019</v>
      </c>
      <c r="B8" s="208">
        <v>0.47595300000000001</v>
      </c>
      <c r="C8" s="208">
        <v>0.453351</v>
      </c>
      <c r="D8" s="208">
        <v>0.441328</v>
      </c>
      <c r="E8" s="208">
        <v>0.42659200000000003</v>
      </c>
      <c r="F8" s="208">
        <v>0.39777400000000002</v>
      </c>
      <c r="G8" s="208">
        <v>0.35212300000000002</v>
      </c>
      <c r="H8" s="208">
        <v>0.29170000000000001</v>
      </c>
      <c r="I8" s="208">
        <v>0.22797799999999999</v>
      </c>
      <c r="J8" s="208">
        <v>0.165713</v>
      </c>
      <c r="K8" s="212">
        <v>0.10073799999999999</v>
      </c>
      <c r="M8" s="176" t="s">
        <v>196</v>
      </c>
      <c r="N8" s="214" t="s">
        <v>303</v>
      </c>
    </row>
    <row r="9" spans="1:16" x14ac:dyDescent="0.25">
      <c r="A9" s="121">
        <v>2020</v>
      </c>
      <c r="B9" s="208">
        <v>0.52</v>
      </c>
      <c r="C9" s="208">
        <v>0.47</v>
      </c>
      <c r="D9" s="208">
        <v>0.45</v>
      </c>
      <c r="E9" s="208">
        <v>0.44</v>
      </c>
      <c r="F9" s="208">
        <v>0.42</v>
      </c>
      <c r="G9" s="208">
        <v>0.39</v>
      </c>
      <c r="H9" s="208">
        <v>0.35</v>
      </c>
      <c r="I9" s="208">
        <v>0.31</v>
      </c>
      <c r="J9" s="208">
        <v>0.27</v>
      </c>
      <c r="K9" s="212">
        <v>0.17</v>
      </c>
      <c r="M9" s="176" t="s">
        <v>201</v>
      </c>
      <c r="N9" s="214" t="s">
        <v>306</v>
      </c>
    </row>
    <row r="10" spans="1:16" x14ac:dyDescent="0.25">
      <c r="A10" s="121">
        <v>2021</v>
      </c>
      <c r="B10" s="208">
        <v>0.51</v>
      </c>
      <c r="C10" s="208">
        <v>0.46</v>
      </c>
      <c r="D10" s="208">
        <v>0.45</v>
      </c>
      <c r="E10" s="208">
        <v>0.43</v>
      </c>
      <c r="F10" s="208">
        <v>0.42</v>
      </c>
      <c r="G10" s="208">
        <v>0.39</v>
      </c>
      <c r="H10" s="208">
        <v>0.36</v>
      </c>
      <c r="I10" s="208">
        <v>0.31</v>
      </c>
      <c r="J10" s="208">
        <v>0.27</v>
      </c>
      <c r="K10" s="212">
        <v>0.17</v>
      </c>
      <c r="M10" s="176" t="s">
        <v>205</v>
      </c>
      <c r="N10" s="214" t="s">
        <v>305</v>
      </c>
    </row>
    <row r="11" spans="1:16" x14ac:dyDescent="0.25">
      <c r="A11" s="121">
        <v>2022</v>
      </c>
      <c r="B11" s="208">
        <v>0.49</v>
      </c>
      <c r="C11" s="208">
        <v>0.47</v>
      </c>
      <c r="D11" s="208">
        <v>0.45</v>
      </c>
      <c r="E11" s="208">
        <v>0.44</v>
      </c>
      <c r="F11" s="208">
        <v>0.43</v>
      </c>
      <c r="G11" s="208">
        <v>0.41</v>
      </c>
      <c r="H11" s="208">
        <v>0.37</v>
      </c>
      <c r="I11" s="208">
        <v>0.33</v>
      </c>
      <c r="J11" s="208">
        <v>0.28000000000000003</v>
      </c>
      <c r="K11" s="212">
        <v>0.18</v>
      </c>
      <c r="M11" s="176" t="s">
        <v>209</v>
      </c>
      <c r="N11" s="214" t="s">
        <v>305</v>
      </c>
    </row>
    <row r="12" spans="1:16" x14ac:dyDescent="0.25">
      <c r="A12" s="121">
        <v>2023</v>
      </c>
      <c r="B12" s="208">
        <v>0.51</v>
      </c>
      <c r="C12" s="208">
        <v>0.47</v>
      </c>
      <c r="D12" s="208">
        <v>0.46</v>
      </c>
      <c r="E12" s="208">
        <v>0.45</v>
      </c>
      <c r="F12" s="208">
        <v>0.44</v>
      </c>
      <c r="G12" s="208">
        <v>0.41</v>
      </c>
      <c r="H12" s="208">
        <v>0.38</v>
      </c>
      <c r="I12" s="208">
        <v>0.34</v>
      </c>
      <c r="J12" s="208">
        <v>0.33</v>
      </c>
      <c r="K12" s="212">
        <v>0.26</v>
      </c>
      <c r="M12" s="176" t="s">
        <v>213</v>
      </c>
      <c r="N12" s="214" t="s">
        <v>305</v>
      </c>
    </row>
    <row r="13" spans="1:16" x14ac:dyDescent="0.25">
      <c r="A13" s="121">
        <v>2024</v>
      </c>
      <c r="B13" s="208">
        <v>0.50963000000000003</v>
      </c>
      <c r="C13" s="208">
        <v>0.47814066666666599</v>
      </c>
      <c r="D13" s="208">
        <v>0.46736799999999901</v>
      </c>
      <c r="E13" s="208">
        <v>0.45493800000000001</v>
      </c>
      <c r="F13" s="208">
        <v>0.44002200000000002</v>
      </c>
      <c r="G13" s="208">
        <v>0.41681933333333299</v>
      </c>
      <c r="H13" s="208">
        <v>0.38450133333333297</v>
      </c>
      <c r="I13" s="208">
        <v>0.34721133333333298</v>
      </c>
      <c r="J13" s="208">
        <v>0.33561000000000002</v>
      </c>
      <c r="K13" s="212">
        <v>0.26434466666666601</v>
      </c>
      <c r="M13" s="176" t="s">
        <v>216</v>
      </c>
      <c r="N13" s="214" t="s">
        <v>306</v>
      </c>
    </row>
    <row r="14" spans="1:16" x14ac:dyDescent="0.25">
      <c r="A14" s="121">
        <v>2025</v>
      </c>
      <c r="B14" s="208">
        <v>0.51345666666666601</v>
      </c>
      <c r="C14" s="208">
        <v>0.48173088888888799</v>
      </c>
      <c r="D14" s="208">
        <v>0.47087733333333298</v>
      </c>
      <c r="E14" s="208">
        <v>0.45835399999999998</v>
      </c>
      <c r="F14" s="208">
        <v>0.443326</v>
      </c>
      <c r="G14" s="208">
        <v>0.419949111111111</v>
      </c>
      <c r="H14" s="208">
        <v>0.38738844444444398</v>
      </c>
      <c r="I14" s="208">
        <v>0.34981844444444399</v>
      </c>
      <c r="J14" s="208">
        <v>0.33812999999999999</v>
      </c>
      <c r="K14" s="212">
        <v>0.26632955555555499</v>
      </c>
      <c r="M14" s="176" t="s">
        <v>220</v>
      </c>
      <c r="N14" s="214" t="s">
        <v>306</v>
      </c>
    </row>
    <row r="15" spans="1:16" x14ac:dyDescent="0.25">
      <c r="A15" s="121">
        <v>2026</v>
      </c>
      <c r="B15" s="208">
        <v>0.51728333333333298</v>
      </c>
      <c r="C15" s="208">
        <v>0.48532111111111098</v>
      </c>
      <c r="D15" s="208">
        <v>0.47438666666666601</v>
      </c>
      <c r="E15" s="208">
        <v>0.46177000000000001</v>
      </c>
      <c r="F15" s="208">
        <v>0.44663000000000003</v>
      </c>
      <c r="G15" s="208">
        <v>0.42307888888888801</v>
      </c>
      <c r="H15" s="208">
        <v>0.39027555555555499</v>
      </c>
      <c r="I15" s="208">
        <v>0.35242555555555499</v>
      </c>
      <c r="J15" s="208">
        <v>0.34065000000000001</v>
      </c>
      <c r="K15" s="212">
        <v>0.26831444444444402</v>
      </c>
      <c r="M15" s="176" t="s">
        <v>224</v>
      </c>
      <c r="N15" s="214" t="s">
        <v>307</v>
      </c>
    </row>
    <row r="16" spans="1:16" x14ac:dyDescent="0.25">
      <c r="A16" s="121">
        <v>2027</v>
      </c>
      <c r="B16" s="208">
        <v>0.52110999999999996</v>
      </c>
      <c r="C16" s="208">
        <v>0.48891133333333298</v>
      </c>
      <c r="D16" s="208">
        <v>0.47789599999999899</v>
      </c>
      <c r="E16" s="208">
        <v>0.46518599999999999</v>
      </c>
      <c r="F16" s="208">
        <v>0.449934</v>
      </c>
      <c r="G16" s="208">
        <v>0.42620866666666601</v>
      </c>
      <c r="H16" s="208">
        <v>0.39316266666666599</v>
      </c>
      <c r="I16" s="208">
        <v>0.355032666666666</v>
      </c>
      <c r="J16" s="208">
        <v>0.34316999999999998</v>
      </c>
      <c r="K16" s="212">
        <v>0.270299333333333</v>
      </c>
      <c r="M16" s="187" t="s">
        <v>228</v>
      </c>
      <c r="N16" s="215" t="s">
        <v>304</v>
      </c>
    </row>
    <row r="17" spans="1:11" x14ac:dyDescent="0.25">
      <c r="A17" s="121">
        <v>2028</v>
      </c>
      <c r="B17" s="208">
        <v>0.52493666666666605</v>
      </c>
      <c r="C17" s="208">
        <v>0.49250155555555503</v>
      </c>
      <c r="D17" s="208">
        <v>0.48140533333333302</v>
      </c>
      <c r="E17" s="208">
        <v>0.46860200000000002</v>
      </c>
      <c r="F17" s="208">
        <v>0.45323799999999997</v>
      </c>
      <c r="G17" s="208">
        <v>0.42933844444444402</v>
      </c>
      <c r="H17" s="208">
        <v>0.396049777777777</v>
      </c>
      <c r="I17" s="208">
        <v>0.357639777777777</v>
      </c>
      <c r="J17" s="208">
        <v>0.34569</v>
      </c>
      <c r="K17" s="212">
        <v>0.27228422222222198</v>
      </c>
    </row>
    <row r="18" spans="1:11" x14ac:dyDescent="0.25">
      <c r="A18" s="121">
        <v>2029</v>
      </c>
      <c r="B18" s="208">
        <v>0.52876333333333303</v>
      </c>
      <c r="C18" s="208">
        <v>0.49609177777777702</v>
      </c>
      <c r="D18" s="208">
        <v>0.48491466666666599</v>
      </c>
      <c r="E18" s="208">
        <v>0.47201799999999999</v>
      </c>
      <c r="F18" s="208">
        <v>0.456542</v>
      </c>
      <c r="G18" s="208">
        <v>0.43246822222222198</v>
      </c>
      <c r="H18" s="208">
        <v>0.39893688888888801</v>
      </c>
      <c r="I18" s="208">
        <v>0.36024688888888801</v>
      </c>
      <c r="J18" s="208">
        <v>0.34821000000000002</v>
      </c>
      <c r="K18" s="212">
        <v>0.27426911111111102</v>
      </c>
    </row>
    <row r="19" spans="1:11" x14ac:dyDescent="0.25">
      <c r="A19" s="121">
        <v>2030</v>
      </c>
      <c r="B19" s="208">
        <v>0.53259000000000001</v>
      </c>
      <c r="C19" s="208">
        <v>0.49968199999999902</v>
      </c>
      <c r="D19" s="208">
        <v>0.48842399999999903</v>
      </c>
      <c r="E19" s="208">
        <v>0.47543400000000002</v>
      </c>
      <c r="F19" s="208">
        <v>0.45984599999999998</v>
      </c>
      <c r="G19" s="208">
        <v>0.43559799999999999</v>
      </c>
      <c r="H19" s="208">
        <v>0.40182400000000001</v>
      </c>
      <c r="I19" s="208">
        <v>0.36285400000000001</v>
      </c>
      <c r="J19" s="208">
        <v>0.35072999999999999</v>
      </c>
      <c r="K19" s="212">
        <v>0.276254</v>
      </c>
    </row>
    <row r="20" spans="1:11" x14ac:dyDescent="0.25">
      <c r="A20" s="121">
        <v>2031</v>
      </c>
      <c r="B20" s="208">
        <v>0.53302050000000001</v>
      </c>
      <c r="C20" s="208">
        <v>0.50008589999999997</v>
      </c>
      <c r="D20" s="208">
        <v>0.488818799999999</v>
      </c>
      <c r="E20" s="208">
        <v>0.47581830000000003</v>
      </c>
      <c r="F20" s="208">
        <v>0.46021770000000001</v>
      </c>
      <c r="G20" s="208">
        <v>0.43595010000000001</v>
      </c>
      <c r="H20" s="208">
        <v>0.40214879999999997</v>
      </c>
      <c r="I20" s="208">
        <v>0.36314730000000001</v>
      </c>
      <c r="J20" s="208">
        <v>0.35101349999999998</v>
      </c>
      <c r="K20" s="212">
        <v>0.27647729999999998</v>
      </c>
    </row>
    <row r="21" spans="1:11" x14ac:dyDescent="0.25">
      <c r="A21" s="121">
        <v>2032</v>
      </c>
      <c r="B21" s="208">
        <v>0.53345100000000001</v>
      </c>
      <c r="C21" s="208">
        <v>0.50048979999999998</v>
      </c>
      <c r="D21" s="208">
        <v>0.48921359999999903</v>
      </c>
      <c r="E21" s="208">
        <v>0.47620259999999998</v>
      </c>
      <c r="F21" s="208">
        <v>0.46058939999999998</v>
      </c>
      <c r="G21" s="208">
        <v>0.43630219999999997</v>
      </c>
      <c r="H21" s="208">
        <v>0.40247359999999999</v>
      </c>
      <c r="I21" s="208">
        <v>0.363440599999999</v>
      </c>
      <c r="J21" s="208">
        <v>0.35129700000000003</v>
      </c>
      <c r="K21" s="212">
        <v>0.27670059999999902</v>
      </c>
    </row>
    <row r="22" spans="1:11" x14ac:dyDescent="0.25">
      <c r="A22" s="121">
        <v>2033</v>
      </c>
      <c r="B22" s="208">
        <v>0.53388150000000001</v>
      </c>
      <c r="C22" s="208">
        <v>0.5008937</v>
      </c>
      <c r="D22" s="208">
        <v>0.489608399999999</v>
      </c>
      <c r="E22" s="208">
        <v>0.47658689999999998</v>
      </c>
      <c r="F22" s="208">
        <v>0.46096110000000001</v>
      </c>
      <c r="G22" s="208">
        <v>0.4366543</v>
      </c>
      <c r="H22" s="208">
        <v>0.4027984</v>
      </c>
      <c r="I22" s="208">
        <v>0.3637339</v>
      </c>
      <c r="J22" s="208">
        <v>0.35158050000000002</v>
      </c>
      <c r="K22" s="212">
        <v>0.2769239</v>
      </c>
    </row>
    <row r="23" spans="1:11" x14ac:dyDescent="0.25">
      <c r="A23" s="121">
        <v>2034</v>
      </c>
      <c r="B23" s="208">
        <v>0.53431200000000001</v>
      </c>
      <c r="C23" s="208">
        <v>0.50129760000000001</v>
      </c>
      <c r="D23" s="208">
        <v>0.49000319999999897</v>
      </c>
      <c r="E23" s="208">
        <v>0.47697119999999998</v>
      </c>
      <c r="F23" s="208">
        <v>0.46133279999999999</v>
      </c>
      <c r="G23" s="208">
        <v>0.43700640000000002</v>
      </c>
      <c r="H23" s="208">
        <v>0.40312320000000001</v>
      </c>
      <c r="I23" s="208">
        <v>0.3640272</v>
      </c>
      <c r="J23" s="208">
        <v>0.35186400000000001</v>
      </c>
      <c r="K23" s="212">
        <v>0.27714719999999998</v>
      </c>
    </row>
    <row r="24" spans="1:11" x14ac:dyDescent="0.25">
      <c r="A24" s="121">
        <v>2035</v>
      </c>
      <c r="B24" s="208">
        <v>0.53474250000000001</v>
      </c>
      <c r="C24" s="208">
        <v>0.50170149999999902</v>
      </c>
      <c r="D24" s="208">
        <v>0.490397999999999</v>
      </c>
      <c r="E24" s="208">
        <v>0.47735549999999999</v>
      </c>
      <c r="F24" s="208">
        <v>0.46170450000000002</v>
      </c>
      <c r="G24" s="208">
        <v>0.43735849999999998</v>
      </c>
      <c r="H24" s="208">
        <v>0.40344799999999997</v>
      </c>
      <c r="I24" s="208">
        <v>0.36432049999999899</v>
      </c>
      <c r="J24" s="208">
        <v>0.3521475</v>
      </c>
      <c r="K24" s="212">
        <v>0.27737050000000002</v>
      </c>
    </row>
    <row r="25" spans="1:11" x14ac:dyDescent="0.25">
      <c r="A25" s="121">
        <v>2036</v>
      </c>
      <c r="B25" s="208">
        <v>0.53517300000000001</v>
      </c>
      <c r="C25" s="208">
        <v>0.50210539999999904</v>
      </c>
      <c r="D25" s="208">
        <v>0.49079279999999897</v>
      </c>
      <c r="E25" s="208">
        <v>0.47773979999999999</v>
      </c>
      <c r="F25" s="208">
        <v>0.46207619999999999</v>
      </c>
      <c r="G25" s="208">
        <v>0.43771060000000001</v>
      </c>
      <c r="H25" s="208">
        <v>0.40377279999999999</v>
      </c>
      <c r="I25" s="208">
        <v>0.36461379999999999</v>
      </c>
      <c r="J25" s="208">
        <v>0.35243099999999999</v>
      </c>
      <c r="K25" s="212">
        <v>0.2775938</v>
      </c>
    </row>
    <row r="26" spans="1:11" x14ac:dyDescent="0.25">
      <c r="A26" s="121">
        <v>2037</v>
      </c>
      <c r="B26" s="208">
        <v>0.53560350000000001</v>
      </c>
      <c r="C26" s="208">
        <v>0.50250929999999905</v>
      </c>
      <c r="D26" s="208">
        <v>0.491187599999999</v>
      </c>
      <c r="E26" s="208">
        <v>0.4781241</v>
      </c>
      <c r="F26" s="208">
        <v>0.46244790000000002</v>
      </c>
      <c r="G26" s="208">
        <v>0.43806270000000003</v>
      </c>
      <c r="H26" s="208">
        <v>0.4040976</v>
      </c>
      <c r="I26" s="208">
        <v>0.36490709999999998</v>
      </c>
      <c r="J26" s="208">
        <v>0.35271449999999999</v>
      </c>
      <c r="K26" s="212">
        <v>0.27781709999999998</v>
      </c>
    </row>
    <row r="27" spans="1:11" x14ac:dyDescent="0.25">
      <c r="A27" s="121">
        <v>2038</v>
      </c>
      <c r="B27" s="208">
        <v>0.53603399999999901</v>
      </c>
      <c r="C27" s="208">
        <v>0.50291319999999995</v>
      </c>
      <c r="D27" s="208">
        <v>0.49158239999999898</v>
      </c>
      <c r="E27" s="208">
        <v>0.4785084</v>
      </c>
      <c r="F27" s="208">
        <v>0.4628196</v>
      </c>
      <c r="G27" s="208">
        <v>0.43841479999999999</v>
      </c>
      <c r="H27" s="208">
        <v>0.40442240000000002</v>
      </c>
      <c r="I27" s="208">
        <v>0.36520039999999998</v>
      </c>
      <c r="J27" s="208">
        <v>0.35299799999999998</v>
      </c>
      <c r="K27" s="212">
        <v>0.27804040000000002</v>
      </c>
    </row>
    <row r="28" spans="1:11" x14ac:dyDescent="0.25">
      <c r="A28" s="121">
        <v>2039</v>
      </c>
      <c r="B28" s="208">
        <v>0.53646450000000001</v>
      </c>
      <c r="C28" s="208">
        <v>0.50331709999999996</v>
      </c>
      <c r="D28" s="208">
        <v>0.491977199999999</v>
      </c>
      <c r="E28" s="208">
        <v>0.4788927</v>
      </c>
      <c r="F28" s="208">
        <v>0.46319129999999997</v>
      </c>
      <c r="G28" s="208">
        <v>0.43876689999999902</v>
      </c>
      <c r="H28" s="208">
        <v>0.40474719999999997</v>
      </c>
      <c r="I28" s="208">
        <v>0.36549369999999998</v>
      </c>
      <c r="J28" s="208">
        <v>0.35328150000000003</v>
      </c>
      <c r="K28" s="212">
        <v>0.2782637</v>
      </c>
    </row>
    <row r="29" spans="1:11" x14ac:dyDescent="0.25">
      <c r="A29" s="121">
        <v>2040</v>
      </c>
      <c r="B29" s="208">
        <v>0.53689500000000001</v>
      </c>
      <c r="C29" s="208">
        <v>0.50372099999999997</v>
      </c>
      <c r="D29" s="208">
        <v>0.49237199999999998</v>
      </c>
      <c r="E29" s="208">
        <v>0.47927700000000001</v>
      </c>
      <c r="F29" s="208">
        <v>0.463563</v>
      </c>
      <c r="G29" s="208">
        <v>0.43911899999999998</v>
      </c>
      <c r="H29" s="208">
        <v>0.40507199999999999</v>
      </c>
      <c r="I29" s="208">
        <v>0.36578699999999997</v>
      </c>
      <c r="J29" s="208">
        <v>0.35356500000000002</v>
      </c>
      <c r="K29" s="212">
        <v>0.27848699999999998</v>
      </c>
    </row>
    <row r="30" spans="1:11" x14ac:dyDescent="0.25">
      <c r="A30" s="121">
        <v>2041</v>
      </c>
      <c r="B30" s="208">
        <v>0.53732550000000001</v>
      </c>
      <c r="C30" s="208">
        <v>0.50412489999999999</v>
      </c>
      <c r="D30" s="208">
        <v>0.49276679999999901</v>
      </c>
      <c r="E30" s="208">
        <v>0.47966130000000001</v>
      </c>
      <c r="F30" s="208">
        <v>0.46393469999999998</v>
      </c>
      <c r="G30" s="208">
        <v>0.4394711</v>
      </c>
      <c r="H30" s="208">
        <v>0.4053968</v>
      </c>
      <c r="I30" s="208">
        <v>0.36608030000000003</v>
      </c>
      <c r="J30" s="208">
        <v>0.35384850000000001</v>
      </c>
      <c r="K30" s="212">
        <v>0.27871030000000002</v>
      </c>
    </row>
    <row r="31" spans="1:11" x14ac:dyDescent="0.25">
      <c r="A31" s="121">
        <v>2042</v>
      </c>
      <c r="B31" s="208">
        <v>0.53775600000000001</v>
      </c>
      <c r="C31" s="208">
        <v>0.5045288</v>
      </c>
      <c r="D31" s="208">
        <v>0.49316159999999998</v>
      </c>
      <c r="E31" s="208">
        <v>0.48004560000000002</v>
      </c>
      <c r="F31" s="208">
        <v>0.46430640000000001</v>
      </c>
      <c r="G31" s="208">
        <v>0.43982320000000003</v>
      </c>
      <c r="H31" s="208">
        <v>0.40572160000000002</v>
      </c>
      <c r="I31" s="208">
        <v>0.36637360000000002</v>
      </c>
      <c r="J31" s="208">
        <v>0.354132</v>
      </c>
      <c r="K31" s="212">
        <v>0.2789336</v>
      </c>
    </row>
    <row r="32" spans="1:11" x14ac:dyDescent="0.25">
      <c r="A32" s="121">
        <v>2043</v>
      </c>
      <c r="B32" s="208">
        <v>0.53818650000000001</v>
      </c>
      <c r="C32" s="208">
        <v>0.50493270000000001</v>
      </c>
      <c r="D32" s="208">
        <v>0.49355639999999901</v>
      </c>
      <c r="E32" s="208">
        <v>0.48042990000000002</v>
      </c>
      <c r="F32" s="208">
        <v>0.46467809999999998</v>
      </c>
      <c r="G32" s="208">
        <v>0.44017529999999999</v>
      </c>
      <c r="H32" s="208">
        <v>0.40604639999999997</v>
      </c>
      <c r="I32" s="208">
        <v>0.36666689999999902</v>
      </c>
      <c r="J32" s="208">
        <v>0.35441549999999999</v>
      </c>
      <c r="K32" s="212">
        <v>0.27915689999999999</v>
      </c>
    </row>
    <row r="33" spans="1:11" x14ac:dyDescent="0.25">
      <c r="A33" s="121">
        <v>2044</v>
      </c>
      <c r="B33" s="208">
        <v>0.53861700000000001</v>
      </c>
      <c r="C33" s="208">
        <v>0.50533660000000002</v>
      </c>
      <c r="D33" s="208">
        <v>0.49395119999999998</v>
      </c>
      <c r="E33" s="208">
        <v>0.48081420000000002</v>
      </c>
      <c r="F33" s="208">
        <v>0.46504980000000001</v>
      </c>
      <c r="G33" s="208">
        <v>0.44052740000000001</v>
      </c>
      <c r="H33" s="208">
        <v>0.40637119999999999</v>
      </c>
      <c r="I33" s="208">
        <v>0.36696020000000001</v>
      </c>
      <c r="J33" s="208">
        <v>0.35469899999999999</v>
      </c>
      <c r="K33" s="212">
        <v>0.27938020000000002</v>
      </c>
    </row>
    <row r="34" spans="1:11" x14ac:dyDescent="0.25">
      <c r="A34" s="121">
        <v>2045</v>
      </c>
      <c r="B34" s="208">
        <v>0.53904750000000001</v>
      </c>
      <c r="C34" s="208">
        <v>0.50574050000000004</v>
      </c>
      <c r="D34" s="208">
        <v>0.49434600000000001</v>
      </c>
      <c r="E34" s="208">
        <v>0.48119849999999997</v>
      </c>
      <c r="F34" s="208">
        <v>0.46542149999999999</v>
      </c>
      <c r="G34" s="208">
        <v>0.44087949999999998</v>
      </c>
      <c r="H34" s="208">
        <v>0.406696</v>
      </c>
      <c r="I34" s="208">
        <v>0.36725350000000001</v>
      </c>
      <c r="J34" s="208">
        <v>0.35498249999999998</v>
      </c>
      <c r="K34" s="212">
        <v>0.2796035</v>
      </c>
    </row>
    <row r="35" spans="1:11" x14ac:dyDescent="0.25">
      <c r="A35" s="121">
        <v>2046</v>
      </c>
      <c r="B35" s="208">
        <v>0.53947800000000001</v>
      </c>
      <c r="C35" s="208">
        <v>0.50614440000000005</v>
      </c>
      <c r="D35" s="208">
        <v>0.49474079999999898</v>
      </c>
      <c r="E35" s="208">
        <v>0.48158279999999998</v>
      </c>
      <c r="F35" s="208">
        <v>0.46579320000000002</v>
      </c>
      <c r="G35" s="208">
        <v>0.4412316</v>
      </c>
      <c r="H35" s="208">
        <v>0.40702080000000002</v>
      </c>
      <c r="I35" s="208">
        <v>0.36754679999999901</v>
      </c>
      <c r="J35" s="208">
        <v>0.35526600000000003</v>
      </c>
      <c r="K35" s="212">
        <v>0.27982679999999999</v>
      </c>
    </row>
    <row r="36" spans="1:11" x14ac:dyDescent="0.25">
      <c r="A36" s="121">
        <v>2047</v>
      </c>
      <c r="B36" s="208">
        <v>0.53990850000000001</v>
      </c>
      <c r="C36" s="208">
        <v>0.50654829999999995</v>
      </c>
      <c r="D36" s="208">
        <v>0.49513559999999901</v>
      </c>
      <c r="E36" s="208">
        <v>0.48196709999999998</v>
      </c>
      <c r="F36" s="208">
        <v>0.46616489999999999</v>
      </c>
      <c r="G36" s="208">
        <v>0.44158370000000002</v>
      </c>
      <c r="H36" s="208">
        <v>0.40734559999999997</v>
      </c>
      <c r="I36" s="208">
        <v>0.3678401</v>
      </c>
      <c r="J36" s="208">
        <v>0.35554950000000002</v>
      </c>
      <c r="K36" s="212">
        <v>0.28005010000000002</v>
      </c>
    </row>
    <row r="37" spans="1:11" x14ac:dyDescent="0.25">
      <c r="A37" s="121">
        <v>2048</v>
      </c>
      <c r="B37" s="208">
        <v>0.54033900000000001</v>
      </c>
      <c r="C37" s="208">
        <v>0.50695219999999996</v>
      </c>
      <c r="D37" s="208">
        <v>0.49553039999999998</v>
      </c>
      <c r="E37" s="208">
        <v>0.48235139999999999</v>
      </c>
      <c r="F37" s="208">
        <v>0.46653660000000002</v>
      </c>
      <c r="G37" s="208">
        <v>0.44193579999999999</v>
      </c>
      <c r="H37" s="208">
        <v>0.40767039999999999</v>
      </c>
      <c r="I37" s="208">
        <v>0.3681334</v>
      </c>
      <c r="J37" s="208">
        <v>0.35583300000000001</v>
      </c>
      <c r="K37" s="212">
        <v>0.28027340000000001</v>
      </c>
    </row>
    <row r="38" spans="1:11" x14ac:dyDescent="0.25">
      <c r="A38" s="121">
        <v>2049</v>
      </c>
      <c r="B38" s="208">
        <v>0.54076950000000001</v>
      </c>
      <c r="C38" s="208">
        <v>0.50735609999999998</v>
      </c>
      <c r="D38" s="208">
        <v>0.49592519999999901</v>
      </c>
      <c r="E38" s="208">
        <v>0.48273569999999999</v>
      </c>
      <c r="F38" s="208">
        <v>0.4669083</v>
      </c>
      <c r="G38" s="208">
        <v>0.44228790000000001</v>
      </c>
      <c r="H38" s="208">
        <v>0.4079952</v>
      </c>
      <c r="I38" s="208">
        <v>0.3684267</v>
      </c>
      <c r="J38" s="208">
        <v>0.3561165</v>
      </c>
      <c r="K38" s="212">
        <v>0.28049669999999999</v>
      </c>
    </row>
    <row r="39" spans="1:11" x14ac:dyDescent="0.25">
      <c r="A39" s="116">
        <v>2050</v>
      </c>
      <c r="B39" s="216">
        <v>0.54120000000000001</v>
      </c>
      <c r="C39" s="216">
        <v>0.50775999999999999</v>
      </c>
      <c r="D39" s="216">
        <v>0.49631999999999898</v>
      </c>
      <c r="E39" s="216">
        <v>0.48311999999999999</v>
      </c>
      <c r="F39" s="216">
        <v>0.46727999999999997</v>
      </c>
      <c r="G39" s="216">
        <v>0.44263999999999998</v>
      </c>
      <c r="H39" s="216">
        <v>0.40832000000000002</v>
      </c>
      <c r="I39" s="216">
        <v>0.36871999999999999</v>
      </c>
      <c r="J39" s="216">
        <v>0.35639999999999999</v>
      </c>
      <c r="K39" s="217">
        <v>0.28072000000000003</v>
      </c>
    </row>
  </sheetData>
  <sheetProtection algorithmName="SHA-512" hashValue="dp9DtJ7KhsZiGi8Yt2JO3Vz8TePDvR1IE19HCzm034lvl55NjFiMgHgx6yKbSADGUu/3510vwGRRgcBxt6v70A==" saltValue="TKD6XmPJXkxiSo/ZmVv4vQ==" spinCount="100000" sheet="1" objects="1" scenarios="1" selectLockedCells="1" selectUnlockedCells="1"/>
  <phoneticPr fontId="9" type="noConversion"/>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E48C-1911-4900-BC69-3A60B60E0777}">
  <dimension ref="A1:BJ175"/>
  <sheetViews>
    <sheetView zoomScale="75" zoomScaleNormal="75" workbookViewId="0">
      <selection activeCell="B19" sqref="A1:XFD1048576"/>
    </sheetView>
  </sheetViews>
  <sheetFormatPr defaultColWidth="9.140625" defaultRowHeight="15" x14ac:dyDescent="0.25"/>
  <cols>
    <col min="1" max="1" width="11.5703125" style="204" bestFit="1" customWidth="1"/>
    <col min="2" max="2" width="14.5703125" style="204" customWidth="1"/>
    <col min="3" max="3" width="36.42578125" style="204" bestFit="1" customWidth="1"/>
    <col min="4" max="4" width="18.42578125" style="204" bestFit="1" customWidth="1"/>
    <col min="5" max="5" width="18.28515625" style="204" bestFit="1" customWidth="1"/>
    <col min="6" max="33" width="6.42578125" style="204" bestFit="1" customWidth="1"/>
    <col min="34" max="16384" width="9.140625" style="204"/>
  </cols>
  <sheetData>
    <row r="1" spans="1:33" x14ac:dyDescent="0.25">
      <c r="A1" s="204" t="s">
        <v>309</v>
      </c>
      <c r="B1" s="204" t="s">
        <v>310</v>
      </c>
      <c r="C1" s="218" t="s">
        <v>311</v>
      </c>
      <c r="D1" s="204" t="s">
        <v>312</v>
      </c>
      <c r="E1" s="204" t="s">
        <v>313</v>
      </c>
      <c r="F1" s="219">
        <v>2023</v>
      </c>
      <c r="G1" s="219">
        <v>2024</v>
      </c>
      <c r="H1" s="219">
        <v>2025</v>
      </c>
      <c r="I1" s="219">
        <v>2026</v>
      </c>
      <c r="J1" s="219">
        <v>2027</v>
      </c>
      <c r="K1" s="219">
        <v>2028</v>
      </c>
      <c r="L1" s="219">
        <v>2029</v>
      </c>
      <c r="M1" s="219">
        <v>2030</v>
      </c>
      <c r="N1" s="219">
        <v>2031</v>
      </c>
      <c r="O1" s="219">
        <v>2032</v>
      </c>
      <c r="P1" s="219">
        <v>2033</v>
      </c>
      <c r="Q1" s="219">
        <v>2034</v>
      </c>
      <c r="R1" s="219">
        <v>2035</v>
      </c>
      <c r="S1" s="219">
        <v>2036</v>
      </c>
      <c r="T1" s="219">
        <v>2037</v>
      </c>
      <c r="U1" s="219">
        <v>2038</v>
      </c>
      <c r="V1" s="219">
        <v>2039</v>
      </c>
      <c r="W1" s="219">
        <v>2040</v>
      </c>
      <c r="X1" s="219">
        <v>2041</v>
      </c>
      <c r="Y1" s="219">
        <v>2042</v>
      </c>
      <c r="Z1" s="219">
        <v>2043</v>
      </c>
      <c r="AA1" s="219">
        <v>2044</v>
      </c>
      <c r="AB1" s="219">
        <v>2045</v>
      </c>
      <c r="AC1" s="219">
        <v>2046</v>
      </c>
      <c r="AD1" s="219">
        <v>2047</v>
      </c>
      <c r="AE1" s="219">
        <v>2048</v>
      </c>
      <c r="AF1" s="219">
        <v>2049</v>
      </c>
      <c r="AG1" s="219">
        <v>2050</v>
      </c>
    </row>
    <row r="2" spans="1:33" x14ac:dyDescent="0.25">
      <c r="A2" s="218" t="s">
        <v>189</v>
      </c>
      <c r="B2" s="218" t="s">
        <v>314</v>
      </c>
      <c r="C2" s="218" t="s">
        <v>315</v>
      </c>
      <c r="D2" s="218" t="s">
        <v>190</v>
      </c>
      <c r="E2" s="218" t="s">
        <v>184</v>
      </c>
      <c r="F2" s="220">
        <v>57.24432373046875</v>
      </c>
      <c r="G2" s="220">
        <v>45.837253570556641</v>
      </c>
      <c r="H2" s="221">
        <v>45.024428359179041</v>
      </c>
      <c r="I2" s="221">
        <v>47.891115521433569</v>
      </c>
      <c r="J2" s="221">
        <v>43.454736139307101</v>
      </c>
      <c r="K2" s="221">
        <v>40.768595369479478</v>
      </c>
      <c r="L2" s="221">
        <v>37.860426038917488</v>
      </c>
      <c r="M2" s="221">
        <v>39.365235056682501</v>
      </c>
      <c r="N2" s="221">
        <v>38.043231180409244</v>
      </c>
      <c r="O2" s="221">
        <v>36.651440754692416</v>
      </c>
      <c r="P2" s="221">
        <v>33.739838797355922</v>
      </c>
      <c r="Q2" s="221">
        <v>31.588068293759477</v>
      </c>
      <c r="R2" s="221">
        <v>30.959704228573333</v>
      </c>
      <c r="S2" s="221">
        <v>29.812913649428086</v>
      </c>
      <c r="T2" s="221">
        <v>29.598364954556168</v>
      </c>
      <c r="U2" s="221">
        <v>28.061237824383525</v>
      </c>
      <c r="V2" s="221">
        <v>26.886633798977812</v>
      </c>
      <c r="W2" s="221">
        <v>25.89726335171104</v>
      </c>
      <c r="X2" s="221">
        <v>24.675910348461279</v>
      </c>
      <c r="Y2" s="221">
        <v>24.442921691433195</v>
      </c>
      <c r="Z2" s="221">
        <v>23.528205894619884</v>
      </c>
      <c r="AA2" s="221">
        <v>23.279056860391769</v>
      </c>
      <c r="AB2" s="221">
        <v>22.563726762466075</v>
      </c>
      <c r="AC2" s="221">
        <v>21.685284496915315</v>
      </c>
      <c r="AD2" s="221">
        <v>20.805364740315266</v>
      </c>
      <c r="AE2" s="221">
        <v>20.774785474561618</v>
      </c>
      <c r="AF2" s="221">
        <v>19.064703367567329</v>
      </c>
      <c r="AG2" s="221">
        <v>18.714311153721869</v>
      </c>
    </row>
    <row r="3" spans="1:33" x14ac:dyDescent="0.25">
      <c r="A3" s="218" t="s">
        <v>189</v>
      </c>
      <c r="B3" s="218" t="s">
        <v>314</v>
      </c>
      <c r="C3" s="218" t="s">
        <v>316</v>
      </c>
      <c r="D3" s="218" t="s">
        <v>190</v>
      </c>
      <c r="E3" s="218" t="s">
        <v>191</v>
      </c>
      <c r="F3" s="220">
        <v>55.858139038085938</v>
      </c>
      <c r="G3" s="220">
        <v>45.052486419677727</v>
      </c>
      <c r="H3" s="221">
        <v>44.814813507237879</v>
      </c>
      <c r="I3" s="221">
        <v>47.678205129474897</v>
      </c>
      <c r="J3" s="221">
        <v>43.218830611100593</v>
      </c>
      <c r="K3" s="221">
        <v>40.468297762199128</v>
      </c>
      <c r="L3" s="221">
        <v>37.465042553736644</v>
      </c>
      <c r="M3" s="221">
        <v>38.91201641859093</v>
      </c>
      <c r="N3" s="221">
        <v>37.400880701615812</v>
      </c>
      <c r="O3" s="221">
        <v>36.132570680340613</v>
      </c>
      <c r="P3" s="221">
        <v>33.237523928630843</v>
      </c>
      <c r="Q3" s="221">
        <v>31.056142691741346</v>
      </c>
      <c r="R3" s="221">
        <v>30.368358988507413</v>
      </c>
      <c r="S3" s="221">
        <v>29.233874698028391</v>
      </c>
      <c r="T3" s="221">
        <v>28.904844575739691</v>
      </c>
      <c r="U3" s="221">
        <v>27.681430083050095</v>
      </c>
      <c r="V3" s="221">
        <v>26.402774654023172</v>
      </c>
      <c r="W3" s="221">
        <v>25.46909917924016</v>
      </c>
      <c r="X3" s="221">
        <v>23.890540047230928</v>
      </c>
      <c r="Y3" s="221">
        <v>23.810406402284254</v>
      </c>
      <c r="Z3" s="221">
        <v>22.830613191708135</v>
      </c>
      <c r="AA3" s="221">
        <v>22.708223669999178</v>
      </c>
      <c r="AB3" s="221">
        <v>21.694734300975799</v>
      </c>
      <c r="AC3" s="221">
        <v>20.982022194340978</v>
      </c>
      <c r="AD3" s="221">
        <v>19.930182369791154</v>
      </c>
      <c r="AE3" s="221">
        <v>20.238801220564206</v>
      </c>
      <c r="AF3" s="221">
        <v>18.454667951633816</v>
      </c>
      <c r="AG3" s="221">
        <v>18.211830581543854</v>
      </c>
    </row>
    <row r="4" spans="1:33" x14ac:dyDescent="0.25">
      <c r="A4" s="218" t="s">
        <v>189</v>
      </c>
      <c r="B4" s="218" t="s">
        <v>314</v>
      </c>
      <c r="C4" s="218" t="s">
        <v>317</v>
      </c>
      <c r="D4" s="218" t="s">
        <v>190</v>
      </c>
      <c r="E4" s="218" t="s">
        <v>196</v>
      </c>
      <c r="F4" s="220">
        <v>48.034206390380859</v>
      </c>
      <c r="G4" s="220">
        <v>38.260158538818359</v>
      </c>
      <c r="H4" s="221">
        <v>46.662330195756681</v>
      </c>
      <c r="I4" s="221">
        <v>49.309971910207715</v>
      </c>
      <c r="J4" s="221">
        <v>44.925136181431341</v>
      </c>
      <c r="K4" s="221">
        <v>42.190384011809442</v>
      </c>
      <c r="L4" s="221">
        <v>39.183190203148435</v>
      </c>
      <c r="M4" s="221">
        <v>40.824038964475491</v>
      </c>
      <c r="N4" s="221">
        <v>39.604139888361345</v>
      </c>
      <c r="O4" s="221">
        <v>38.272335842760128</v>
      </c>
      <c r="P4" s="221">
        <v>35.314175646089204</v>
      </c>
      <c r="Q4" s="221">
        <v>33.341402161202438</v>
      </c>
      <c r="R4" s="221">
        <v>32.687017721076749</v>
      </c>
      <c r="S4" s="221">
        <v>31.72693804196733</v>
      </c>
      <c r="T4" s="221">
        <v>31.565387276030275</v>
      </c>
      <c r="U4" s="221">
        <v>30.22893626740149</v>
      </c>
      <c r="V4" s="221">
        <v>29.127747586519604</v>
      </c>
      <c r="W4" s="221">
        <v>28.679358212736457</v>
      </c>
      <c r="X4" s="221">
        <v>26.158283757668173</v>
      </c>
      <c r="Y4" s="221">
        <v>26.10456880534446</v>
      </c>
      <c r="Z4" s="221">
        <v>25.128485511361422</v>
      </c>
      <c r="AA4" s="221">
        <v>25.071660788862371</v>
      </c>
      <c r="AB4" s="221">
        <v>24.127223061799782</v>
      </c>
      <c r="AC4" s="221">
        <v>23.578835785524266</v>
      </c>
      <c r="AD4" s="221">
        <v>22.384640429998399</v>
      </c>
      <c r="AE4" s="221">
        <v>22.75804347290585</v>
      </c>
      <c r="AF4" s="221">
        <v>20.98946288730345</v>
      </c>
      <c r="AG4" s="221">
        <v>20.782091911890188</v>
      </c>
    </row>
    <row r="5" spans="1:33" x14ac:dyDescent="0.25">
      <c r="A5" s="218" t="s">
        <v>189</v>
      </c>
      <c r="B5" s="218" t="s">
        <v>314</v>
      </c>
      <c r="C5" s="218" t="s">
        <v>318</v>
      </c>
      <c r="D5" s="218" t="s">
        <v>190</v>
      </c>
      <c r="E5" s="218" t="s">
        <v>201</v>
      </c>
      <c r="F5" s="220">
        <v>47.242275238037109</v>
      </c>
      <c r="G5" s="220">
        <v>37.687419891357422</v>
      </c>
      <c r="H5" s="221">
        <v>45.68617154019249</v>
      </c>
      <c r="I5" s="221">
        <v>48.417193233907184</v>
      </c>
      <c r="J5" s="221">
        <v>44.072771191715312</v>
      </c>
      <c r="K5" s="221">
        <v>41.364742836476566</v>
      </c>
      <c r="L5" s="221">
        <v>38.415041264489801</v>
      </c>
      <c r="M5" s="221">
        <v>39.989825258684931</v>
      </c>
      <c r="N5" s="221">
        <v>38.68511559856131</v>
      </c>
      <c r="O5" s="221">
        <v>37.361730121614663</v>
      </c>
      <c r="P5" s="221">
        <v>34.511053921636737</v>
      </c>
      <c r="Q5" s="221">
        <v>32.436686156861057</v>
      </c>
      <c r="R5" s="221">
        <v>31.781028192471751</v>
      </c>
      <c r="S5" s="221">
        <v>30.760466788991785</v>
      </c>
      <c r="T5" s="221">
        <v>30.566146780785513</v>
      </c>
      <c r="U5" s="221">
        <v>29.333681609689126</v>
      </c>
      <c r="V5" s="221">
        <v>28.179056122654369</v>
      </c>
      <c r="W5" s="221">
        <v>27.770294161591121</v>
      </c>
      <c r="X5" s="221">
        <v>25.218929732541056</v>
      </c>
      <c r="Y5" s="221">
        <v>25.076133167172223</v>
      </c>
      <c r="Z5" s="221">
        <v>24.172233874990773</v>
      </c>
      <c r="AA5" s="221">
        <v>24.065848082089165</v>
      </c>
      <c r="AB5" s="221">
        <v>23.103302449058262</v>
      </c>
      <c r="AC5" s="221">
        <v>22.46505206123911</v>
      </c>
      <c r="AD5" s="221">
        <v>21.417876848558588</v>
      </c>
      <c r="AE5" s="221">
        <v>21.894099038984059</v>
      </c>
      <c r="AF5" s="221">
        <v>20.04925755312188</v>
      </c>
      <c r="AG5" s="221">
        <v>19.718554909141417</v>
      </c>
    </row>
    <row r="6" spans="1:33" x14ac:dyDescent="0.25">
      <c r="A6" s="218" t="s">
        <v>189</v>
      </c>
      <c r="B6" s="218" t="s">
        <v>314</v>
      </c>
      <c r="C6" s="218" t="s">
        <v>319</v>
      </c>
      <c r="D6" s="218" t="s">
        <v>190</v>
      </c>
      <c r="E6" s="218" t="s">
        <v>205</v>
      </c>
      <c r="F6" s="220">
        <v>48.034206390380859</v>
      </c>
      <c r="G6" s="220">
        <v>38.260158538818359</v>
      </c>
      <c r="H6" s="221">
        <v>47.054131831774662</v>
      </c>
      <c r="I6" s="221">
        <v>50.263225837457995</v>
      </c>
      <c r="J6" s="221">
        <v>45.860406111148173</v>
      </c>
      <c r="K6" s="221">
        <v>43.076595256910082</v>
      </c>
      <c r="L6" s="221">
        <v>40.07427794177007</v>
      </c>
      <c r="M6" s="221">
        <v>41.65784380864271</v>
      </c>
      <c r="N6" s="221">
        <v>40.401524982497939</v>
      </c>
      <c r="O6" s="221">
        <v>38.938776022548751</v>
      </c>
      <c r="P6" s="221">
        <v>35.848540909741097</v>
      </c>
      <c r="Q6" s="221">
        <v>33.7088428786059</v>
      </c>
      <c r="R6" s="221">
        <v>32.969490661563562</v>
      </c>
      <c r="S6" s="221">
        <v>31.81349824863743</v>
      </c>
      <c r="T6" s="221">
        <v>31.62600290035466</v>
      </c>
      <c r="U6" s="221">
        <v>30.075964489671371</v>
      </c>
      <c r="V6" s="221">
        <v>28.792613708122378</v>
      </c>
      <c r="W6" s="221">
        <v>28.36318056468491</v>
      </c>
      <c r="X6" s="221">
        <v>26.614481544579597</v>
      </c>
      <c r="Y6" s="221">
        <v>26.586962009701267</v>
      </c>
      <c r="Z6" s="221">
        <v>25.618017934833588</v>
      </c>
      <c r="AA6" s="221">
        <v>25.547722955907531</v>
      </c>
      <c r="AB6" s="221">
        <v>24.780023740129277</v>
      </c>
      <c r="AC6" s="221">
        <v>24.174195679139995</v>
      </c>
      <c r="AD6" s="221">
        <v>23.015723942661666</v>
      </c>
      <c r="AE6" s="221">
        <v>23.381166770635957</v>
      </c>
      <c r="AF6" s="221">
        <v>21.722940594734641</v>
      </c>
      <c r="AG6" s="221">
        <v>21.632851399595292</v>
      </c>
    </row>
    <row r="7" spans="1:33" x14ac:dyDescent="0.25">
      <c r="A7" s="218" t="s">
        <v>189</v>
      </c>
      <c r="B7" s="218" t="s">
        <v>314</v>
      </c>
      <c r="C7" s="218" t="s">
        <v>320</v>
      </c>
      <c r="D7" s="218" t="s">
        <v>190</v>
      </c>
      <c r="E7" s="218" t="s">
        <v>209</v>
      </c>
      <c r="F7" s="220">
        <v>58.185451507568359</v>
      </c>
      <c r="G7" s="220">
        <v>44.331398010253913</v>
      </c>
      <c r="H7" s="221">
        <v>50.525021455659221</v>
      </c>
      <c r="I7" s="221">
        <v>51.849004348088378</v>
      </c>
      <c r="J7" s="221">
        <v>47.090523078829712</v>
      </c>
      <c r="K7" s="221">
        <v>43.940129747409983</v>
      </c>
      <c r="L7" s="221">
        <v>41.01233714094986</v>
      </c>
      <c r="M7" s="221">
        <v>42.587079575187239</v>
      </c>
      <c r="N7" s="221">
        <v>41.372507759213548</v>
      </c>
      <c r="O7" s="221">
        <v>39.982337836446405</v>
      </c>
      <c r="P7" s="221">
        <v>36.933771135240399</v>
      </c>
      <c r="Q7" s="221">
        <v>34.946661113928066</v>
      </c>
      <c r="R7" s="221">
        <v>34.268219869320532</v>
      </c>
      <c r="S7" s="221">
        <v>33.282574124294953</v>
      </c>
      <c r="T7" s="221">
        <v>33.432589617257257</v>
      </c>
      <c r="U7" s="221">
        <v>32.178289854179411</v>
      </c>
      <c r="V7" s="221">
        <v>30.641184734123012</v>
      </c>
      <c r="W7" s="221">
        <v>30.74026227799056</v>
      </c>
      <c r="X7" s="221">
        <v>28.340965378330143</v>
      </c>
      <c r="Y7" s="221">
        <v>28.207607293275416</v>
      </c>
      <c r="Z7" s="221">
        <v>27.424738912575886</v>
      </c>
      <c r="AA7" s="221">
        <v>27.449968061768697</v>
      </c>
      <c r="AB7" s="221">
        <v>26.918379857569185</v>
      </c>
      <c r="AC7" s="221">
        <v>26.32647500924276</v>
      </c>
      <c r="AD7" s="221">
        <v>25.871314685920002</v>
      </c>
      <c r="AE7" s="221">
        <v>26.573841923151114</v>
      </c>
      <c r="AF7" s="221">
        <v>24.751367764376255</v>
      </c>
      <c r="AG7" s="221">
        <v>24.519032411239387</v>
      </c>
    </row>
    <row r="8" spans="1:33" x14ac:dyDescent="0.25">
      <c r="A8" s="218" t="s">
        <v>189</v>
      </c>
      <c r="B8" s="218" t="s">
        <v>314</v>
      </c>
      <c r="C8" s="218" t="s">
        <v>321</v>
      </c>
      <c r="D8" s="218" t="s">
        <v>190</v>
      </c>
      <c r="E8" s="218" t="s">
        <v>213</v>
      </c>
      <c r="F8" s="220">
        <v>66.71649169921875</v>
      </c>
      <c r="G8" s="220">
        <v>48.038490295410163</v>
      </c>
      <c r="H8" s="221">
        <v>53.295944525673214</v>
      </c>
      <c r="I8" s="221">
        <v>53.753857927942839</v>
      </c>
      <c r="J8" s="221">
        <v>49.049800689900728</v>
      </c>
      <c r="K8" s="221">
        <v>45.71187259652865</v>
      </c>
      <c r="L8" s="221">
        <v>42.704759051062055</v>
      </c>
      <c r="M8" s="221">
        <v>44.286842881394442</v>
      </c>
      <c r="N8" s="221">
        <v>43.126929825228579</v>
      </c>
      <c r="O8" s="221">
        <v>41.697181987638089</v>
      </c>
      <c r="P8" s="221">
        <v>38.431993522939493</v>
      </c>
      <c r="Q8" s="221">
        <v>36.513496140459452</v>
      </c>
      <c r="R8" s="221">
        <v>35.762722735610829</v>
      </c>
      <c r="S8" s="221">
        <v>34.733471938292972</v>
      </c>
      <c r="T8" s="221">
        <v>34.858957635660879</v>
      </c>
      <c r="U8" s="221">
        <v>33.599979887357954</v>
      </c>
      <c r="V8" s="221">
        <v>32.2227720458202</v>
      </c>
      <c r="W8" s="221">
        <v>32.342377481482337</v>
      </c>
      <c r="X8" s="221">
        <v>29.912452045861222</v>
      </c>
      <c r="Y8" s="221">
        <v>29.802995525095074</v>
      </c>
      <c r="Z8" s="221">
        <v>28.896605107263827</v>
      </c>
      <c r="AA8" s="221">
        <v>28.841709233280145</v>
      </c>
      <c r="AB8" s="221">
        <v>28.485226214741552</v>
      </c>
      <c r="AC8" s="221">
        <v>27.961227439770557</v>
      </c>
      <c r="AD8" s="221">
        <v>27.261693064042625</v>
      </c>
      <c r="AE8" s="221">
        <v>27.979698068101236</v>
      </c>
      <c r="AF8" s="221">
        <v>26.150324869085242</v>
      </c>
      <c r="AG8" s="221">
        <v>25.710098464197902</v>
      </c>
    </row>
    <row r="9" spans="1:33" x14ac:dyDescent="0.25">
      <c r="A9" s="218" t="s">
        <v>189</v>
      </c>
      <c r="B9" s="218" t="s">
        <v>314</v>
      </c>
      <c r="C9" s="218" t="s">
        <v>322</v>
      </c>
      <c r="D9" s="218" t="s">
        <v>190</v>
      </c>
      <c r="E9" s="218" t="s">
        <v>216</v>
      </c>
      <c r="F9" s="220">
        <v>66.139900207519531</v>
      </c>
      <c r="G9" s="220">
        <v>47.806922912597663</v>
      </c>
      <c r="H9" s="221">
        <v>53.999857361922231</v>
      </c>
      <c r="I9" s="221">
        <v>54.450316193208991</v>
      </c>
      <c r="J9" s="221">
        <v>49.968226423625936</v>
      </c>
      <c r="K9" s="221">
        <v>46.598060506334207</v>
      </c>
      <c r="L9" s="221">
        <v>43.61584267348092</v>
      </c>
      <c r="M9" s="221">
        <v>45.217180141480704</v>
      </c>
      <c r="N9" s="221">
        <v>43.433223970003205</v>
      </c>
      <c r="O9" s="221">
        <v>42.209844325525069</v>
      </c>
      <c r="P9" s="221">
        <v>39.273994326335917</v>
      </c>
      <c r="Q9" s="221">
        <v>37.309381963281758</v>
      </c>
      <c r="R9" s="221">
        <v>36.792831383647609</v>
      </c>
      <c r="S9" s="221">
        <v>35.859889395250214</v>
      </c>
      <c r="T9" s="221">
        <v>35.862901211090275</v>
      </c>
      <c r="U9" s="221">
        <v>34.665072114308146</v>
      </c>
      <c r="V9" s="221">
        <v>33.330632998280983</v>
      </c>
      <c r="W9" s="221">
        <v>33.536571030695455</v>
      </c>
      <c r="X9" s="221">
        <v>31.066831086544653</v>
      </c>
      <c r="Y9" s="221">
        <v>30.80805013551095</v>
      </c>
      <c r="Z9" s="221">
        <v>30.015955735967058</v>
      </c>
      <c r="AA9" s="221">
        <v>30.056879907414395</v>
      </c>
      <c r="AB9" s="221">
        <v>29.488480675727875</v>
      </c>
      <c r="AC9" s="221">
        <v>28.598580372360448</v>
      </c>
      <c r="AD9" s="221">
        <v>28.390823201773994</v>
      </c>
      <c r="AE9" s="221">
        <v>29.249706272773018</v>
      </c>
      <c r="AF9" s="221">
        <v>27.260545379532545</v>
      </c>
      <c r="AG9" s="221">
        <v>26.882506113824043</v>
      </c>
    </row>
    <row r="10" spans="1:33" x14ac:dyDescent="0.25">
      <c r="A10" s="218" t="s">
        <v>189</v>
      </c>
      <c r="B10" s="218" t="s">
        <v>314</v>
      </c>
      <c r="C10" s="218" t="s">
        <v>323</v>
      </c>
      <c r="D10" s="218" t="s">
        <v>190</v>
      </c>
      <c r="E10" s="218" t="s">
        <v>220</v>
      </c>
      <c r="F10" s="220">
        <v>66.161216735839844</v>
      </c>
      <c r="G10" s="220">
        <v>48.711879730224609</v>
      </c>
      <c r="H10" s="221">
        <v>53.524751551478587</v>
      </c>
      <c r="I10" s="221">
        <v>54.003167834863817</v>
      </c>
      <c r="J10" s="221">
        <v>49.351272136006841</v>
      </c>
      <c r="K10" s="221">
        <v>46.117028837648107</v>
      </c>
      <c r="L10" s="221">
        <v>43.108711168939017</v>
      </c>
      <c r="M10" s="221">
        <v>44.616976438588843</v>
      </c>
      <c r="N10" s="221">
        <v>43.47769063694922</v>
      </c>
      <c r="O10" s="221">
        <v>42.139831367941269</v>
      </c>
      <c r="P10" s="221">
        <v>38.995236530489073</v>
      </c>
      <c r="Q10" s="221">
        <v>36.873147138821544</v>
      </c>
      <c r="R10" s="221">
        <v>36.245057323840157</v>
      </c>
      <c r="S10" s="221">
        <v>35.26671435623922</v>
      </c>
      <c r="T10" s="221">
        <v>35.394804717589594</v>
      </c>
      <c r="U10" s="221">
        <v>34.036259390873731</v>
      </c>
      <c r="V10" s="221">
        <v>32.591890618699296</v>
      </c>
      <c r="W10" s="221">
        <v>32.913009262661731</v>
      </c>
      <c r="X10" s="221">
        <v>30.401352695363553</v>
      </c>
      <c r="Y10" s="221">
        <v>30.183123814889889</v>
      </c>
      <c r="Z10" s="221">
        <v>29.368519400525766</v>
      </c>
      <c r="AA10" s="221">
        <v>29.442642509901983</v>
      </c>
      <c r="AB10" s="221">
        <v>29.060636574790919</v>
      </c>
      <c r="AC10" s="221">
        <v>28.273146793686717</v>
      </c>
      <c r="AD10" s="221">
        <v>27.928152606339694</v>
      </c>
      <c r="AE10" s="221">
        <v>28.573800097808657</v>
      </c>
      <c r="AF10" s="221">
        <v>26.896314048035848</v>
      </c>
      <c r="AG10" s="221">
        <v>26.227163905312519</v>
      </c>
    </row>
    <row r="11" spans="1:33" x14ac:dyDescent="0.25">
      <c r="A11" s="218" t="s">
        <v>189</v>
      </c>
      <c r="B11" s="218" t="s">
        <v>314</v>
      </c>
      <c r="C11" s="218" t="s">
        <v>324</v>
      </c>
      <c r="D11" s="218" t="s">
        <v>190</v>
      </c>
      <c r="E11" s="218" t="s">
        <v>224</v>
      </c>
      <c r="F11" s="220">
        <v>66.161216735839844</v>
      </c>
      <c r="G11" s="220">
        <v>48.711879730224609</v>
      </c>
      <c r="H11" s="221">
        <v>54.36260867406515</v>
      </c>
      <c r="I11" s="221">
        <v>54.41336398296319</v>
      </c>
      <c r="J11" s="221">
        <v>49.394259427014191</v>
      </c>
      <c r="K11" s="221">
        <v>46.052117931718129</v>
      </c>
      <c r="L11" s="221">
        <v>43.062218176217485</v>
      </c>
      <c r="M11" s="221">
        <v>44.656385228101165</v>
      </c>
      <c r="N11" s="221">
        <v>43.358169578436495</v>
      </c>
      <c r="O11" s="221">
        <v>42.074803939416235</v>
      </c>
      <c r="P11" s="221">
        <v>38.781028680365722</v>
      </c>
      <c r="Q11" s="221">
        <v>36.79655674722872</v>
      </c>
      <c r="R11" s="221">
        <v>36.302333865348928</v>
      </c>
      <c r="S11" s="221">
        <v>35.270345379163153</v>
      </c>
      <c r="T11" s="221">
        <v>35.428478751741899</v>
      </c>
      <c r="U11" s="221">
        <v>34.123739192185738</v>
      </c>
      <c r="V11" s="221">
        <v>32.720397477484454</v>
      </c>
      <c r="W11" s="221">
        <v>32.863051687782189</v>
      </c>
      <c r="X11" s="221">
        <v>30.402405858309493</v>
      </c>
      <c r="Y11" s="221">
        <v>30.315618247107064</v>
      </c>
      <c r="Z11" s="221">
        <v>29.325905401586681</v>
      </c>
      <c r="AA11" s="221">
        <v>29.314679797772538</v>
      </c>
      <c r="AB11" s="221">
        <v>28.974830271150747</v>
      </c>
      <c r="AC11" s="221">
        <v>28.587364839805659</v>
      </c>
      <c r="AD11" s="221">
        <v>27.928058352299999</v>
      </c>
      <c r="AE11" s="221">
        <v>28.670630407058944</v>
      </c>
      <c r="AF11" s="221">
        <v>26.87767804426786</v>
      </c>
      <c r="AG11" s="221">
        <v>26.666659392696548</v>
      </c>
    </row>
    <row r="12" spans="1:33" x14ac:dyDescent="0.25">
      <c r="A12" s="218" t="s">
        <v>189</v>
      </c>
      <c r="B12" s="218" t="s">
        <v>314</v>
      </c>
      <c r="C12" s="218" t="s">
        <v>325</v>
      </c>
      <c r="D12" s="218" t="s">
        <v>190</v>
      </c>
      <c r="E12" s="218" t="s">
        <v>228</v>
      </c>
      <c r="F12" s="220">
        <v>68.207725524902344</v>
      </c>
      <c r="G12" s="220">
        <v>50.178379058837891</v>
      </c>
      <c r="H12" s="221">
        <v>57.524994453976319</v>
      </c>
      <c r="I12" s="221">
        <v>57.862657913043542</v>
      </c>
      <c r="J12" s="221">
        <v>52.615279031249443</v>
      </c>
      <c r="K12" s="221">
        <v>48.888972038294362</v>
      </c>
      <c r="L12" s="221">
        <v>45.667075623040333</v>
      </c>
      <c r="M12" s="221">
        <v>46.842881139273771</v>
      </c>
      <c r="N12" s="221">
        <v>45.393891200156681</v>
      </c>
      <c r="O12" s="221">
        <v>43.56265390567161</v>
      </c>
      <c r="P12" s="221">
        <v>39.942493516940281</v>
      </c>
      <c r="Q12" s="221">
        <v>37.713196261764082</v>
      </c>
      <c r="R12" s="221">
        <v>37.093270338098826</v>
      </c>
      <c r="S12" s="221">
        <v>36.244696939218656</v>
      </c>
      <c r="T12" s="221">
        <v>36.575500428351738</v>
      </c>
      <c r="U12" s="221">
        <v>35.41946130648725</v>
      </c>
      <c r="V12" s="221">
        <v>33.786342246393296</v>
      </c>
      <c r="W12" s="221">
        <v>33.845584314333983</v>
      </c>
      <c r="X12" s="221">
        <v>31.502983319016277</v>
      </c>
      <c r="Y12" s="221">
        <v>31.594444730353409</v>
      </c>
      <c r="Z12" s="221">
        <v>30.6369658093327</v>
      </c>
      <c r="AA12" s="221">
        <v>30.721767587323455</v>
      </c>
      <c r="AB12" s="221">
        <v>30.678510514344943</v>
      </c>
      <c r="AC12" s="221">
        <v>29.970884262769072</v>
      </c>
      <c r="AD12" s="221">
        <v>29.413209150523681</v>
      </c>
      <c r="AE12" s="221">
        <v>30.409538479234055</v>
      </c>
      <c r="AF12" s="221">
        <v>28.470040461014889</v>
      </c>
      <c r="AG12" s="221">
        <v>27.84451574882117</v>
      </c>
    </row>
    <row r="13" spans="1:33" x14ac:dyDescent="0.25">
      <c r="A13" s="218" t="s">
        <v>189</v>
      </c>
      <c r="B13" s="218" t="s">
        <v>314</v>
      </c>
      <c r="C13" s="218" t="s">
        <v>326</v>
      </c>
      <c r="D13" s="218" t="s">
        <v>194</v>
      </c>
      <c r="E13" s="218" t="s">
        <v>184</v>
      </c>
      <c r="F13" s="220">
        <v>55.947952270507813</v>
      </c>
      <c r="G13" s="220">
        <v>45.102180480957031</v>
      </c>
      <c r="H13" s="221">
        <v>44.40381087518395</v>
      </c>
      <c r="I13" s="221">
        <v>47.479523352140895</v>
      </c>
      <c r="J13" s="221">
        <v>43.025821600716412</v>
      </c>
      <c r="K13" s="221">
        <v>40.319364613126538</v>
      </c>
      <c r="L13" s="221">
        <v>37.302325020656355</v>
      </c>
      <c r="M13" s="221">
        <v>38.830418438613847</v>
      </c>
      <c r="N13" s="221">
        <v>37.509512324387615</v>
      </c>
      <c r="O13" s="221">
        <v>36.345673260027354</v>
      </c>
      <c r="P13" s="221">
        <v>33.578811222309824</v>
      </c>
      <c r="Q13" s="221">
        <v>31.534475249881769</v>
      </c>
      <c r="R13" s="221">
        <v>30.970591237189463</v>
      </c>
      <c r="S13" s="221">
        <v>29.787111378385763</v>
      </c>
      <c r="T13" s="221">
        <v>29.522602221072418</v>
      </c>
      <c r="U13" s="221">
        <v>28.066694153024105</v>
      </c>
      <c r="V13" s="221">
        <v>26.68675225205655</v>
      </c>
      <c r="W13" s="221">
        <v>25.546644516361301</v>
      </c>
      <c r="X13" s="221">
        <v>24.505062191365145</v>
      </c>
      <c r="Y13" s="221">
        <v>24.112107181934821</v>
      </c>
      <c r="Z13" s="221">
        <v>23.056376904065605</v>
      </c>
      <c r="AA13" s="221">
        <v>22.82767422635251</v>
      </c>
      <c r="AB13" s="221">
        <v>21.900834124102492</v>
      </c>
      <c r="AC13" s="221">
        <v>20.749803259738457</v>
      </c>
      <c r="AD13" s="221">
        <v>19.893648194394181</v>
      </c>
      <c r="AE13" s="221">
        <v>19.809719372416851</v>
      </c>
      <c r="AF13" s="221">
        <v>18.099320513671287</v>
      </c>
      <c r="AG13" s="221">
        <v>17.543797267272396</v>
      </c>
    </row>
    <row r="14" spans="1:33" x14ac:dyDescent="0.25">
      <c r="A14" s="218" t="s">
        <v>189</v>
      </c>
      <c r="B14" s="218" t="s">
        <v>314</v>
      </c>
      <c r="C14" s="218" t="s">
        <v>327</v>
      </c>
      <c r="D14" s="218" t="s">
        <v>194</v>
      </c>
      <c r="E14" s="218" t="s">
        <v>191</v>
      </c>
      <c r="F14" s="220">
        <v>54.708049774169922</v>
      </c>
      <c r="G14" s="220">
        <v>44.390880584716797</v>
      </c>
      <c r="H14" s="221">
        <v>44.35540150221118</v>
      </c>
      <c r="I14" s="221">
        <v>47.408475042301795</v>
      </c>
      <c r="J14" s="221">
        <v>42.928219558832495</v>
      </c>
      <c r="K14" s="221">
        <v>40.154766217830847</v>
      </c>
      <c r="L14" s="221">
        <v>37.060268133674853</v>
      </c>
      <c r="M14" s="221">
        <v>38.547384559677965</v>
      </c>
      <c r="N14" s="221">
        <v>37.059940683674931</v>
      </c>
      <c r="O14" s="221">
        <v>35.995968216891768</v>
      </c>
      <c r="P14" s="221">
        <v>33.222754932728932</v>
      </c>
      <c r="Q14" s="221">
        <v>31.177011585187678</v>
      </c>
      <c r="R14" s="221">
        <v>30.549829269071754</v>
      </c>
      <c r="S14" s="221">
        <v>29.376487734462458</v>
      </c>
      <c r="T14" s="221">
        <v>29.046807328725453</v>
      </c>
      <c r="U14" s="221">
        <v>27.830076195364772</v>
      </c>
      <c r="V14" s="221">
        <v>26.385916735809939</v>
      </c>
      <c r="W14" s="221">
        <v>25.278304065569614</v>
      </c>
      <c r="X14" s="221">
        <v>23.929329255537077</v>
      </c>
      <c r="Y14" s="221">
        <v>23.681386840559579</v>
      </c>
      <c r="Z14" s="221">
        <v>22.584950482330267</v>
      </c>
      <c r="AA14" s="221">
        <v>22.441924203122483</v>
      </c>
      <c r="AB14" s="221">
        <v>21.264243319651996</v>
      </c>
      <c r="AC14" s="221">
        <v>20.267085524459088</v>
      </c>
      <c r="AD14" s="221">
        <v>19.277712098656778</v>
      </c>
      <c r="AE14" s="221">
        <v>19.498690328807712</v>
      </c>
      <c r="AF14" s="221">
        <v>17.724168754185829</v>
      </c>
      <c r="AG14" s="221">
        <v>17.303119050078404</v>
      </c>
    </row>
    <row r="15" spans="1:33" x14ac:dyDescent="0.25">
      <c r="A15" s="218" t="s">
        <v>189</v>
      </c>
      <c r="B15" s="218" t="s">
        <v>314</v>
      </c>
      <c r="C15" s="218" t="s">
        <v>328</v>
      </c>
      <c r="D15" s="218" t="s">
        <v>194</v>
      </c>
      <c r="E15" s="218" t="s">
        <v>196</v>
      </c>
      <c r="F15" s="220">
        <v>46.927158355712891</v>
      </c>
      <c r="G15" s="220">
        <v>37.766517639160163</v>
      </c>
      <c r="H15" s="221">
        <v>45.816258162444463</v>
      </c>
      <c r="I15" s="221">
        <v>48.678073635502848</v>
      </c>
      <c r="J15" s="221">
        <v>44.289824917270607</v>
      </c>
      <c r="K15" s="221">
        <v>41.586720852940708</v>
      </c>
      <c r="L15" s="221">
        <v>38.466844964007066</v>
      </c>
      <c r="M15" s="221">
        <v>40.163897619226248</v>
      </c>
      <c r="N15" s="221">
        <v>38.945799000601603</v>
      </c>
      <c r="O15" s="221">
        <v>37.834519189155621</v>
      </c>
      <c r="P15" s="221">
        <v>35.025783741376962</v>
      </c>
      <c r="Q15" s="221">
        <v>33.155007993822693</v>
      </c>
      <c r="R15" s="221">
        <v>32.567735966137242</v>
      </c>
      <c r="S15" s="221">
        <v>31.575583895900778</v>
      </c>
      <c r="T15" s="221">
        <v>31.414041798683275</v>
      </c>
      <c r="U15" s="221">
        <v>30.176862349338148</v>
      </c>
      <c r="V15" s="221">
        <v>28.910996969357729</v>
      </c>
      <c r="W15" s="221">
        <v>28.428231904798956</v>
      </c>
      <c r="X15" s="221">
        <v>25.845980889618016</v>
      </c>
      <c r="Y15" s="221">
        <v>25.600230908942329</v>
      </c>
      <c r="Z15" s="221">
        <v>24.539349179834076</v>
      </c>
      <c r="AA15" s="221">
        <v>24.469446363485808</v>
      </c>
      <c r="AB15" s="221">
        <v>23.339984681231972</v>
      </c>
      <c r="AC15" s="221">
        <v>22.505339861338651</v>
      </c>
      <c r="AD15" s="221">
        <v>21.35863207810084</v>
      </c>
      <c r="AE15" s="221">
        <v>21.660765947889598</v>
      </c>
      <c r="AF15" s="221">
        <v>19.872598299239588</v>
      </c>
      <c r="AG15" s="221">
        <v>19.460671036439734</v>
      </c>
    </row>
    <row r="16" spans="1:33" x14ac:dyDescent="0.25">
      <c r="A16" s="218" t="s">
        <v>189</v>
      </c>
      <c r="B16" s="218" t="s">
        <v>314</v>
      </c>
      <c r="C16" s="218" t="s">
        <v>329</v>
      </c>
      <c r="D16" s="218" t="s">
        <v>194</v>
      </c>
      <c r="E16" s="218" t="s">
        <v>201</v>
      </c>
      <c r="F16" s="220">
        <v>46.138347625732422</v>
      </c>
      <c r="G16" s="220">
        <v>37.200614929199219</v>
      </c>
      <c r="H16" s="221">
        <v>44.813503806748166</v>
      </c>
      <c r="I16" s="221">
        <v>47.788246574258025</v>
      </c>
      <c r="J16" s="221">
        <v>43.458988687865485</v>
      </c>
      <c r="K16" s="221">
        <v>40.771752757917881</v>
      </c>
      <c r="L16" s="221">
        <v>37.709260850668656</v>
      </c>
      <c r="M16" s="221">
        <v>39.366023527006149</v>
      </c>
      <c r="N16" s="221">
        <v>38.104651405338302</v>
      </c>
      <c r="O16" s="221">
        <v>37.009790466446731</v>
      </c>
      <c r="P16" s="221">
        <v>34.345806859161087</v>
      </c>
      <c r="Q16" s="221">
        <v>32.411404848466489</v>
      </c>
      <c r="R16" s="221">
        <v>31.812495782389675</v>
      </c>
      <c r="S16" s="221">
        <v>30.787977895743541</v>
      </c>
      <c r="T16" s="221">
        <v>30.60828233124241</v>
      </c>
      <c r="U16" s="221">
        <v>29.448240177287023</v>
      </c>
      <c r="V16" s="221">
        <v>28.109662735139185</v>
      </c>
      <c r="W16" s="221">
        <v>27.678321169481009</v>
      </c>
      <c r="X16" s="221">
        <v>25.096689397830918</v>
      </c>
      <c r="Y16" s="221">
        <v>24.774526902454181</v>
      </c>
      <c r="Z16" s="221">
        <v>23.727689107593292</v>
      </c>
      <c r="AA16" s="221">
        <v>23.63052748437249</v>
      </c>
      <c r="AB16" s="221">
        <v>22.486918024795166</v>
      </c>
      <c r="AC16" s="221">
        <v>21.569103806910231</v>
      </c>
      <c r="AD16" s="221">
        <v>20.543752967224954</v>
      </c>
      <c r="AE16" s="221">
        <v>20.889528348122568</v>
      </c>
      <c r="AF16" s="221">
        <v>19.057625697438372</v>
      </c>
      <c r="AG16" s="221">
        <v>18.54285684821528</v>
      </c>
    </row>
    <row r="17" spans="1:33" x14ac:dyDescent="0.25">
      <c r="A17" s="218" t="s">
        <v>189</v>
      </c>
      <c r="B17" s="218" t="s">
        <v>314</v>
      </c>
      <c r="C17" s="218" t="s">
        <v>330</v>
      </c>
      <c r="D17" s="218" t="s">
        <v>194</v>
      </c>
      <c r="E17" s="218" t="s">
        <v>205</v>
      </c>
      <c r="F17" s="220">
        <v>46.927158355712891</v>
      </c>
      <c r="G17" s="220">
        <v>37.766517639160163</v>
      </c>
      <c r="H17" s="221">
        <v>46.212876397521455</v>
      </c>
      <c r="I17" s="221">
        <v>49.581638723515404</v>
      </c>
      <c r="J17" s="221">
        <v>45.172540582604732</v>
      </c>
      <c r="K17" s="221">
        <v>42.411455179321258</v>
      </c>
      <c r="L17" s="221">
        <v>39.298296230630783</v>
      </c>
      <c r="M17" s="221">
        <v>40.911446222396172</v>
      </c>
      <c r="N17" s="221">
        <v>39.635906512266018</v>
      </c>
      <c r="O17" s="221">
        <v>38.413842001054419</v>
      </c>
      <c r="P17" s="221">
        <v>35.467886214428439</v>
      </c>
      <c r="Q17" s="221">
        <v>33.439864224633695</v>
      </c>
      <c r="R17" s="221">
        <v>32.745947027336939</v>
      </c>
      <c r="S17" s="221">
        <v>31.571879357878398</v>
      </c>
      <c r="T17" s="221">
        <v>31.369768244732956</v>
      </c>
      <c r="U17" s="221">
        <v>29.907428581865467</v>
      </c>
      <c r="V17" s="221">
        <v>28.441050695373711</v>
      </c>
      <c r="W17" s="221">
        <v>27.946314876704065</v>
      </c>
      <c r="X17" s="221">
        <v>26.209886089658905</v>
      </c>
      <c r="Y17" s="221">
        <v>25.991494186029019</v>
      </c>
      <c r="Z17" s="221">
        <v>24.91587033714864</v>
      </c>
      <c r="AA17" s="221">
        <v>24.871890114187558</v>
      </c>
      <c r="AB17" s="221">
        <v>23.905253301512168</v>
      </c>
      <c r="AC17" s="221">
        <v>23.029377041291703</v>
      </c>
      <c r="AD17" s="221">
        <v>21.939124925482353</v>
      </c>
      <c r="AE17" s="221">
        <v>22.247449840918954</v>
      </c>
      <c r="AF17" s="221">
        <v>20.537892057646108</v>
      </c>
      <c r="AG17" s="221">
        <v>20.223788000120322</v>
      </c>
    </row>
    <row r="18" spans="1:33" x14ac:dyDescent="0.25">
      <c r="A18" s="218" t="s">
        <v>189</v>
      </c>
      <c r="B18" s="218" t="s">
        <v>314</v>
      </c>
      <c r="C18" s="218" t="s">
        <v>331</v>
      </c>
      <c r="D18" s="218" t="s">
        <v>194</v>
      </c>
      <c r="E18" s="218" t="s">
        <v>209</v>
      </c>
      <c r="F18" s="220">
        <v>56.189304351806641</v>
      </c>
      <c r="G18" s="220">
        <v>43.606796264648438</v>
      </c>
      <c r="H18" s="221">
        <v>48.988237459070064</v>
      </c>
      <c r="I18" s="221">
        <v>50.927946226628187</v>
      </c>
      <c r="J18" s="221">
        <v>46.290840374479757</v>
      </c>
      <c r="K18" s="221">
        <v>43.229364708669237</v>
      </c>
      <c r="L18" s="221">
        <v>40.188289184058419</v>
      </c>
      <c r="M18" s="221">
        <v>41.826138048024632</v>
      </c>
      <c r="N18" s="221">
        <v>40.613109004044176</v>
      </c>
      <c r="O18" s="221">
        <v>39.456990769809146</v>
      </c>
      <c r="P18" s="221">
        <v>36.576798505991128</v>
      </c>
      <c r="Q18" s="221">
        <v>34.698728737741014</v>
      </c>
      <c r="R18" s="221">
        <v>34.126932754790857</v>
      </c>
      <c r="S18" s="221">
        <v>33.08058006610247</v>
      </c>
      <c r="T18" s="221">
        <v>33.210093842891979</v>
      </c>
      <c r="U18" s="221">
        <v>32.036236737601399</v>
      </c>
      <c r="V18" s="221">
        <v>30.40742275153071</v>
      </c>
      <c r="W18" s="221">
        <v>30.381312034666962</v>
      </c>
      <c r="X18" s="221">
        <v>27.965276259493361</v>
      </c>
      <c r="Y18" s="221">
        <v>27.606844203291093</v>
      </c>
      <c r="Z18" s="221">
        <v>26.741682328062705</v>
      </c>
      <c r="AA18" s="221">
        <v>26.735901468577623</v>
      </c>
      <c r="AB18" s="221">
        <v>26.042473909159369</v>
      </c>
      <c r="AC18" s="221">
        <v>25.137651810564122</v>
      </c>
      <c r="AD18" s="221">
        <v>24.636567833002132</v>
      </c>
      <c r="AE18" s="221">
        <v>25.201017181026653</v>
      </c>
      <c r="AF18" s="221">
        <v>23.470192889315744</v>
      </c>
      <c r="AG18" s="221">
        <v>22.936753961871286</v>
      </c>
    </row>
    <row r="19" spans="1:33" x14ac:dyDescent="0.25">
      <c r="A19" s="218" t="s">
        <v>189</v>
      </c>
      <c r="B19" s="218" t="s">
        <v>314</v>
      </c>
      <c r="C19" s="218" t="s">
        <v>332</v>
      </c>
      <c r="D19" s="218" t="s">
        <v>194</v>
      </c>
      <c r="E19" s="218" t="s">
        <v>213</v>
      </c>
      <c r="F19" s="220">
        <v>64.423934936523438</v>
      </c>
      <c r="G19" s="220">
        <v>47.331851959228523</v>
      </c>
      <c r="H19" s="221">
        <v>51.894798731785109</v>
      </c>
      <c r="I19" s="221">
        <v>52.927727234967165</v>
      </c>
      <c r="J19" s="221">
        <v>48.347309224416378</v>
      </c>
      <c r="K19" s="221">
        <v>45.09210900448349</v>
      </c>
      <c r="L19" s="221">
        <v>41.983451839102393</v>
      </c>
      <c r="M19" s="221">
        <v>43.63944866835979</v>
      </c>
      <c r="N19" s="221">
        <v>42.498553013596435</v>
      </c>
      <c r="O19" s="221">
        <v>41.31144365185736</v>
      </c>
      <c r="P19" s="221">
        <v>38.161475791891391</v>
      </c>
      <c r="Q19" s="221">
        <v>36.358058738852293</v>
      </c>
      <c r="R19" s="221">
        <v>35.692542983359616</v>
      </c>
      <c r="S19" s="221">
        <v>34.623217100912427</v>
      </c>
      <c r="T19" s="221">
        <v>34.719727424147727</v>
      </c>
      <c r="U19" s="221">
        <v>33.519286632651749</v>
      </c>
      <c r="V19" s="221">
        <v>32.024600855328401</v>
      </c>
      <c r="W19" s="221">
        <v>32.02946168493154</v>
      </c>
      <c r="X19" s="221">
        <v>29.627239252883601</v>
      </c>
      <c r="Y19" s="221">
        <v>29.25761838186207</v>
      </c>
      <c r="Z19" s="221">
        <v>28.309094783298178</v>
      </c>
      <c r="AA19" s="221">
        <v>28.207099900171741</v>
      </c>
      <c r="AB19" s="221">
        <v>27.672871803269306</v>
      </c>
      <c r="AC19" s="221">
        <v>26.781500250448556</v>
      </c>
      <c r="AD19" s="221">
        <v>26.120090220088827</v>
      </c>
      <c r="AE19" s="221">
        <v>26.649261969771093</v>
      </c>
      <c r="AF19" s="221">
        <v>24.947639003311664</v>
      </c>
      <c r="AG19" s="221">
        <v>24.155729855543154</v>
      </c>
    </row>
    <row r="20" spans="1:33" x14ac:dyDescent="0.25">
      <c r="A20" s="218" t="s">
        <v>189</v>
      </c>
      <c r="B20" s="218" t="s">
        <v>314</v>
      </c>
      <c r="C20" s="218" t="s">
        <v>333</v>
      </c>
      <c r="D20" s="218" t="s">
        <v>194</v>
      </c>
      <c r="E20" s="218" t="s">
        <v>216</v>
      </c>
      <c r="F20" s="220">
        <v>63.973106384277337</v>
      </c>
      <c r="G20" s="220">
        <v>47.127525329589837</v>
      </c>
      <c r="H20" s="221">
        <v>52.533526631981879</v>
      </c>
      <c r="I20" s="221">
        <v>53.548529245592576</v>
      </c>
      <c r="J20" s="221">
        <v>49.133326745641028</v>
      </c>
      <c r="K20" s="221">
        <v>45.858260898975203</v>
      </c>
      <c r="L20" s="221">
        <v>42.761529449681092</v>
      </c>
      <c r="M20" s="221">
        <v>44.408192564197613</v>
      </c>
      <c r="N20" s="221">
        <v>42.720073403986945</v>
      </c>
      <c r="O20" s="221">
        <v>41.701136071584521</v>
      </c>
      <c r="P20" s="221">
        <v>38.881715261833392</v>
      </c>
      <c r="Q20" s="221">
        <v>36.994910913917877</v>
      </c>
      <c r="R20" s="221">
        <v>36.547920020166018</v>
      </c>
      <c r="S20" s="221">
        <v>35.529711450065442</v>
      </c>
      <c r="T20" s="221">
        <v>35.586268554123379</v>
      </c>
      <c r="U20" s="221">
        <v>34.403281676747746</v>
      </c>
      <c r="V20" s="221">
        <v>32.931169768321858</v>
      </c>
      <c r="W20" s="221">
        <v>33.007166165146188</v>
      </c>
      <c r="X20" s="221">
        <v>30.532734583547636</v>
      </c>
      <c r="Y20" s="221">
        <v>30.048903791605181</v>
      </c>
      <c r="Z20" s="221">
        <v>29.218148136918195</v>
      </c>
      <c r="AA20" s="221">
        <v>29.130711929448228</v>
      </c>
      <c r="AB20" s="221">
        <v>28.438916456753024</v>
      </c>
      <c r="AC20" s="221">
        <v>27.317483692323385</v>
      </c>
      <c r="AD20" s="221">
        <v>26.975602813484866</v>
      </c>
      <c r="AE20" s="221">
        <v>27.599078635348626</v>
      </c>
      <c r="AF20" s="221">
        <v>25.755944017812393</v>
      </c>
      <c r="AG20" s="221">
        <v>25.022209692459612</v>
      </c>
    </row>
    <row r="21" spans="1:33" x14ac:dyDescent="0.25">
      <c r="A21" s="218" t="s">
        <v>189</v>
      </c>
      <c r="B21" s="218" t="s">
        <v>314</v>
      </c>
      <c r="C21" s="218" t="s">
        <v>334</v>
      </c>
      <c r="D21" s="218" t="s">
        <v>194</v>
      </c>
      <c r="E21" s="218" t="s">
        <v>220</v>
      </c>
      <c r="F21" s="220">
        <v>63.994617462158203</v>
      </c>
      <c r="G21" s="220">
        <v>48.027259826660163</v>
      </c>
      <c r="H21" s="221">
        <v>52.103732700618281</v>
      </c>
      <c r="I21" s="221">
        <v>53.166736840155103</v>
      </c>
      <c r="J21" s="221">
        <v>48.638846611560488</v>
      </c>
      <c r="K21" s="221">
        <v>45.50490775359647</v>
      </c>
      <c r="L21" s="221">
        <v>42.38680669027223</v>
      </c>
      <c r="M21" s="221">
        <v>43.960041996072604</v>
      </c>
      <c r="N21" s="221">
        <v>42.82255665960971</v>
      </c>
      <c r="O21" s="221">
        <v>41.744836875379676</v>
      </c>
      <c r="P21" s="221">
        <v>38.719576938312393</v>
      </c>
      <c r="Q21" s="221">
        <v>36.727846465880845</v>
      </c>
      <c r="R21" s="221">
        <v>36.199987097252425</v>
      </c>
      <c r="S21" s="221">
        <v>35.153054230779858</v>
      </c>
      <c r="T21" s="221">
        <v>35.235118748654969</v>
      </c>
      <c r="U21" s="221">
        <v>33.937896555950992</v>
      </c>
      <c r="V21" s="221">
        <v>32.374955938734701</v>
      </c>
      <c r="W21" s="221">
        <v>32.584438144873396</v>
      </c>
      <c r="X21" s="221">
        <v>30.066690388617104</v>
      </c>
      <c r="Y21" s="221">
        <v>29.648979156964085</v>
      </c>
      <c r="Z21" s="221">
        <v>28.741119900977086</v>
      </c>
      <c r="AA21" s="221">
        <v>28.730160788434805</v>
      </c>
      <c r="AB21" s="221">
        <v>28.13897530162744</v>
      </c>
      <c r="AC21" s="221">
        <v>27.094893696511839</v>
      </c>
      <c r="AD21" s="221">
        <v>26.676907859162768</v>
      </c>
      <c r="AE21" s="221">
        <v>27.166752767748282</v>
      </c>
      <c r="AF21" s="221">
        <v>25.544945114684364</v>
      </c>
      <c r="AG21" s="221">
        <v>24.601690359799708</v>
      </c>
    </row>
    <row r="22" spans="1:33" x14ac:dyDescent="0.25">
      <c r="A22" s="218" t="s">
        <v>189</v>
      </c>
      <c r="B22" s="218" t="s">
        <v>314</v>
      </c>
      <c r="C22" s="218" t="s">
        <v>335</v>
      </c>
      <c r="D22" s="218" t="s">
        <v>194</v>
      </c>
      <c r="E22" s="218" t="s">
        <v>224</v>
      </c>
      <c r="F22" s="220">
        <v>63.994617462158203</v>
      </c>
      <c r="G22" s="220">
        <v>48.027259826660163</v>
      </c>
      <c r="H22" s="221">
        <v>52.984906580331554</v>
      </c>
      <c r="I22" s="221">
        <v>53.65207722097702</v>
      </c>
      <c r="J22" s="221">
        <v>48.779161933497477</v>
      </c>
      <c r="K22" s="221">
        <v>45.50299035574421</v>
      </c>
      <c r="L22" s="221">
        <v>42.399947348574585</v>
      </c>
      <c r="M22" s="221">
        <v>44.038610757187747</v>
      </c>
      <c r="N22" s="221">
        <v>42.753599569690046</v>
      </c>
      <c r="O22" s="221">
        <v>41.691256513299251</v>
      </c>
      <c r="P22" s="221">
        <v>38.530751701303679</v>
      </c>
      <c r="Q22" s="221">
        <v>36.642604065009017</v>
      </c>
      <c r="R22" s="221">
        <v>36.217363882631489</v>
      </c>
      <c r="S22" s="221">
        <v>35.140744643118708</v>
      </c>
      <c r="T22" s="221">
        <v>35.262499791474816</v>
      </c>
      <c r="U22" s="221">
        <v>34.00764374525734</v>
      </c>
      <c r="V22" s="221">
        <v>32.457232235845893</v>
      </c>
      <c r="W22" s="221">
        <v>32.510617087574495</v>
      </c>
      <c r="X22" s="221">
        <v>30.06950736148557</v>
      </c>
      <c r="Y22" s="221">
        <v>29.717621601232779</v>
      </c>
      <c r="Z22" s="221">
        <v>28.689693265762855</v>
      </c>
      <c r="AA22" s="221">
        <v>28.636166611522263</v>
      </c>
      <c r="AB22" s="221">
        <v>28.119167589670067</v>
      </c>
      <c r="AC22" s="221">
        <v>27.335095644200663</v>
      </c>
      <c r="AD22" s="221">
        <v>26.70194352494531</v>
      </c>
      <c r="AE22" s="221">
        <v>27.278690873868136</v>
      </c>
      <c r="AF22" s="221">
        <v>25.593240789433683</v>
      </c>
      <c r="AG22" s="221">
        <v>24.980317567259728</v>
      </c>
    </row>
    <row r="23" spans="1:33" x14ac:dyDescent="0.25">
      <c r="A23" s="218" t="s">
        <v>189</v>
      </c>
      <c r="B23" s="218" t="s">
        <v>314</v>
      </c>
      <c r="C23" s="218" t="s">
        <v>336</v>
      </c>
      <c r="D23" s="218" t="s">
        <v>194</v>
      </c>
      <c r="E23" s="218" t="s">
        <v>228</v>
      </c>
      <c r="F23" s="220">
        <v>65.91546630859375</v>
      </c>
      <c r="G23" s="220">
        <v>49.426502227783203</v>
      </c>
      <c r="H23" s="221">
        <v>56.358501446252156</v>
      </c>
      <c r="I23" s="221">
        <v>57.323572479565698</v>
      </c>
      <c r="J23" s="221">
        <v>52.144784697939841</v>
      </c>
      <c r="K23" s="221">
        <v>48.567678205844459</v>
      </c>
      <c r="L23" s="221">
        <v>45.147449833294075</v>
      </c>
      <c r="M23" s="221">
        <v>46.299896525716612</v>
      </c>
      <c r="N23" s="221">
        <v>44.907035589322234</v>
      </c>
      <c r="O23" s="221">
        <v>43.225940379478708</v>
      </c>
      <c r="P23" s="221">
        <v>39.748938688409076</v>
      </c>
      <c r="Q23" s="221">
        <v>37.559485497901896</v>
      </c>
      <c r="R23" s="221">
        <v>37.022728204186222</v>
      </c>
      <c r="S23" s="221">
        <v>36.105299928206314</v>
      </c>
      <c r="T23" s="221">
        <v>36.394713862384855</v>
      </c>
      <c r="U23" s="221">
        <v>35.213040474371276</v>
      </c>
      <c r="V23" s="221">
        <v>33.489154627509834</v>
      </c>
      <c r="W23" s="221">
        <v>33.48789095748846</v>
      </c>
      <c r="X23" s="221">
        <v>31.085909704065738</v>
      </c>
      <c r="Y23" s="221">
        <v>30.86215786612722</v>
      </c>
      <c r="Z23" s="221">
        <v>29.857209054896991</v>
      </c>
      <c r="AA23" s="221">
        <v>29.896174966724768</v>
      </c>
      <c r="AB23" s="221">
        <v>29.691980870234886</v>
      </c>
      <c r="AC23" s="221">
        <v>28.651103391745892</v>
      </c>
      <c r="AD23" s="221">
        <v>28.090791043461977</v>
      </c>
      <c r="AE23" s="221">
        <v>28.835219890093395</v>
      </c>
      <c r="AF23" s="221">
        <v>27.029812070507692</v>
      </c>
      <c r="AG23" s="221">
        <v>26.000244258743997</v>
      </c>
    </row>
    <row r="24" spans="1:33" x14ac:dyDescent="0.25">
      <c r="A24" s="218" t="s">
        <v>5</v>
      </c>
      <c r="B24" s="218" t="s">
        <v>314</v>
      </c>
      <c r="C24" s="218" t="s">
        <v>315</v>
      </c>
      <c r="D24" s="218" t="s">
        <v>190</v>
      </c>
      <c r="E24" s="218" t="s">
        <v>184</v>
      </c>
      <c r="F24" s="220">
        <v>55.436817169189453</v>
      </c>
      <c r="G24" s="220">
        <v>44.745517730712891</v>
      </c>
      <c r="H24" s="221">
        <v>44.117613202845881</v>
      </c>
      <c r="I24" s="221">
        <v>47.064882074693024</v>
      </c>
      <c r="J24" s="221">
        <v>42.469694339710024</v>
      </c>
      <c r="K24" s="221">
        <v>39.717125382439981</v>
      </c>
      <c r="L24" s="221">
        <v>36.656467380447125</v>
      </c>
      <c r="M24" s="221">
        <v>38.044049540412736</v>
      </c>
      <c r="N24" s="221">
        <v>36.548825357289203</v>
      </c>
      <c r="O24" s="221">
        <v>35.332400069706871</v>
      </c>
      <c r="P24" s="221">
        <v>32.378010601714969</v>
      </c>
      <c r="Q24" s="221">
        <v>30.257220209583632</v>
      </c>
      <c r="R24" s="221">
        <v>29.685489300576617</v>
      </c>
      <c r="S24" s="221">
        <v>28.503194244385675</v>
      </c>
      <c r="T24" s="221">
        <v>28.23212009815526</v>
      </c>
      <c r="U24" s="221">
        <v>26.873018901378828</v>
      </c>
      <c r="V24" s="221">
        <v>25.582995855748596</v>
      </c>
      <c r="W24" s="221">
        <v>24.454193733936158</v>
      </c>
      <c r="X24" s="221">
        <v>23.192115769075336</v>
      </c>
      <c r="Y24" s="221">
        <v>22.847862722005235</v>
      </c>
      <c r="Z24" s="221">
        <v>21.893542247499951</v>
      </c>
      <c r="AA24" s="221">
        <v>21.677165378443949</v>
      </c>
      <c r="AB24" s="221">
        <v>20.823666168364291</v>
      </c>
      <c r="AC24" s="221">
        <v>19.763388653863984</v>
      </c>
      <c r="AD24" s="221">
        <v>18.942738866042681</v>
      </c>
      <c r="AE24" s="221">
        <v>18.830578848465169</v>
      </c>
      <c r="AF24" s="221">
        <v>17.205587655825394</v>
      </c>
      <c r="AG24" s="221">
        <v>16.854541946253143</v>
      </c>
    </row>
    <row r="25" spans="1:33" x14ac:dyDescent="0.25">
      <c r="A25" s="218" t="s">
        <v>5</v>
      </c>
      <c r="B25" s="218" t="s">
        <v>314</v>
      </c>
      <c r="C25" s="218" t="s">
        <v>316</v>
      </c>
      <c r="D25" s="218" t="s">
        <v>190</v>
      </c>
      <c r="E25" s="218" t="s">
        <v>191</v>
      </c>
      <c r="F25" s="220">
        <v>55.436817169189453</v>
      </c>
      <c r="G25" s="220">
        <v>44.745517730712891</v>
      </c>
      <c r="H25" s="221">
        <v>44.68930304534107</v>
      </c>
      <c r="I25" s="221">
        <v>47.657313562372771</v>
      </c>
      <c r="J25" s="221">
        <v>43.04883231153584</v>
      </c>
      <c r="K25" s="221">
        <v>40.240370573739725</v>
      </c>
      <c r="L25" s="221">
        <v>37.18337490568382</v>
      </c>
      <c r="M25" s="221">
        <v>38.576691617923835</v>
      </c>
      <c r="N25" s="221">
        <v>37.008883359088635</v>
      </c>
      <c r="O25" s="221">
        <v>35.815393814653511</v>
      </c>
      <c r="P25" s="221">
        <v>32.83815538827988</v>
      </c>
      <c r="Q25" s="221">
        <v>30.684516599252184</v>
      </c>
      <c r="R25" s="221">
        <v>30.031765612002101</v>
      </c>
      <c r="S25" s="221">
        <v>28.838982812470491</v>
      </c>
      <c r="T25" s="221">
        <v>28.477271458846253</v>
      </c>
      <c r="U25" s="221">
        <v>27.316322592730774</v>
      </c>
      <c r="V25" s="221">
        <v>25.913581090939427</v>
      </c>
      <c r="W25" s="221">
        <v>24.922187251101935</v>
      </c>
      <c r="X25" s="221">
        <v>23.426758885339353</v>
      </c>
      <c r="Y25" s="221">
        <v>23.269891260547713</v>
      </c>
      <c r="Z25" s="221">
        <v>22.255836200915549</v>
      </c>
      <c r="AA25" s="221">
        <v>22.154192002199302</v>
      </c>
      <c r="AB25" s="221">
        <v>21.126649501317583</v>
      </c>
      <c r="AC25" s="221">
        <v>20.368260476933305</v>
      </c>
      <c r="AD25" s="221">
        <v>19.309041093688631</v>
      </c>
      <c r="AE25" s="221">
        <v>19.556776233072437</v>
      </c>
      <c r="AF25" s="221">
        <v>17.829366844452355</v>
      </c>
      <c r="AG25" s="221">
        <v>17.646134228158253</v>
      </c>
    </row>
    <row r="26" spans="1:33" x14ac:dyDescent="0.25">
      <c r="A26" s="218" t="s">
        <v>5</v>
      </c>
      <c r="B26" s="218" t="s">
        <v>314</v>
      </c>
      <c r="C26" s="218" t="s">
        <v>317</v>
      </c>
      <c r="D26" s="218" t="s">
        <v>190</v>
      </c>
      <c r="E26" s="218" t="s">
        <v>196</v>
      </c>
      <c r="F26" s="220">
        <v>46.2537841796875</v>
      </c>
      <c r="G26" s="220">
        <v>37.343101501464837</v>
      </c>
      <c r="H26" s="221">
        <v>45.537247260773796</v>
      </c>
      <c r="I26" s="221">
        <v>48.282423902524087</v>
      </c>
      <c r="J26" s="221">
        <v>43.751100419718504</v>
      </c>
      <c r="K26" s="221">
        <v>40.974375008322639</v>
      </c>
      <c r="L26" s="221">
        <v>37.834190719057524</v>
      </c>
      <c r="M26" s="221">
        <v>39.3282496346621</v>
      </c>
      <c r="N26" s="221">
        <v>37.875083995318747</v>
      </c>
      <c r="O26" s="221">
        <v>36.737369217004435</v>
      </c>
      <c r="P26" s="221">
        <v>33.737114920715484</v>
      </c>
      <c r="Q26" s="221">
        <v>31.770345638489474</v>
      </c>
      <c r="R26" s="221">
        <v>31.130213584170352</v>
      </c>
      <c r="S26" s="221">
        <v>30.118901426504785</v>
      </c>
      <c r="T26" s="221">
        <v>29.873187583345207</v>
      </c>
      <c r="U26" s="221">
        <v>28.710394621791085</v>
      </c>
      <c r="V26" s="221">
        <v>27.432014872921805</v>
      </c>
      <c r="W26" s="221">
        <v>26.886319183462625</v>
      </c>
      <c r="X26" s="221">
        <v>24.309033701358306</v>
      </c>
      <c r="Y26" s="221">
        <v>24.114585613517825</v>
      </c>
      <c r="Z26" s="221">
        <v>23.084592732313208</v>
      </c>
      <c r="AA26" s="221">
        <v>23.042347184666809</v>
      </c>
      <c r="AB26" s="221">
        <v>21.951492399230695</v>
      </c>
      <c r="AC26" s="221">
        <v>21.185627545783706</v>
      </c>
      <c r="AD26" s="221">
        <v>20.062523831532907</v>
      </c>
      <c r="AE26" s="221">
        <v>20.345934328106733</v>
      </c>
      <c r="AF26" s="221">
        <v>18.670454215320042</v>
      </c>
      <c r="AG26" s="221">
        <v>18.360525744793826</v>
      </c>
    </row>
    <row r="27" spans="1:33" x14ac:dyDescent="0.25">
      <c r="A27" s="218" t="s">
        <v>5</v>
      </c>
      <c r="B27" s="218" t="s">
        <v>314</v>
      </c>
      <c r="C27" s="218" t="s">
        <v>318</v>
      </c>
      <c r="D27" s="218" t="s">
        <v>190</v>
      </c>
      <c r="E27" s="218" t="s">
        <v>201</v>
      </c>
      <c r="F27" s="220">
        <v>46.680229187011719</v>
      </c>
      <c r="G27" s="220">
        <v>37.439754486083977</v>
      </c>
      <c r="H27" s="221">
        <v>45.19583893132166</v>
      </c>
      <c r="I27" s="221">
        <v>48.056558609185359</v>
      </c>
      <c r="J27" s="221">
        <v>43.585259332325741</v>
      </c>
      <c r="K27" s="221">
        <v>40.820122976410076</v>
      </c>
      <c r="L27" s="221">
        <v>37.794877191317134</v>
      </c>
      <c r="M27" s="221">
        <v>39.31384321637691</v>
      </c>
      <c r="N27" s="221">
        <v>37.91165982159211</v>
      </c>
      <c r="O27" s="221">
        <v>36.728465797446418</v>
      </c>
      <c r="P27" s="221">
        <v>33.873960792208266</v>
      </c>
      <c r="Q27" s="221">
        <v>31.854077370804031</v>
      </c>
      <c r="R27" s="221">
        <v>31.190712998272183</v>
      </c>
      <c r="S27" s="221">
        <v>30.144200372220809</v>
      </c>
      <c r="T27" s="221">
        <v>29.905311740687267</v>
      </c>
      <c r="U27" s="221">
        <v>28.752812354007713</v>
      </c>
      <c r="V27" s="221">
        <v>27.440881580877992</v>
      </c>
      <c r="W27" s="221">
        <v>26.953295929755303</v>
      </c>
      <c r="X27" s="221">
        <v>24.401977948585873</v>
      </c>
      <c r="Y27" s="221">
        <v>24.173089099137343</v>
      </c>
      <c r="Z27" s="221">
        <v>23.192283737211689</v>
      </c>
      <c r="AA27" s="221">
        <v>23.1215505818687</v>
      </c>
      <c r="AB27" s="221">
        <v>22.092836022929699</v>
      </c>
      <c r="AC27" s="221">
        <v>21.318176994883519</v>
      </c>
      <c r="AD27" s="221">
        <v>20.286620391339689</v>
      </c>
      <c r="AE27" s="221">
        <v>20.659879085663068</v>
      </c>
      <c r="AF27" s="221">
        <v>18.88644517144397</v>
      </c>
      <c r="AG27" s="221">
        <v>18.509394811208566</v>
      </c>
    </row>
    <row r="28" spans="1:33" x14ac:dyDescent="0.25">
      <c r="A28" s="218" t="s">
        <v>5</v>
      </c>
      <c r="B28" s="218" t="s">
        <v>314</v>
      </c>
      <c r="C28" s="218" t="s">
        <v>319</v>
      </c>
      <c r="D28" s="218" t="s">
        <v>190</v>
      </c>
      <c r="E28" s="218" t="s">
        <v>205</v>
      </c>
      <c r="F28" s="220">
        <v>46.680229187011719</v>
      </c>
      <c r="G28" s="220">
        <v>37.439754486083977</v>
      </c>
      <c r="H28" s="221">
        <v>45.74654217400375</v>
      </c>
      <c r="I28" s="221">
        <v>49.032173271413896</v>
      </c>
      <c r="J28" s="221">
        <v>44.52478395124443</v>
      </c>
      <c r="K28" s="221">
        <v>41.721502923598472</v>
      </c>
      <c r="L28" s="221">
        <v>38.605127232601468</v>
      </c>
      <c r="M28" s="221">
        <v>40.05384378511193</v>
      </c>
      <c r="N28" s="221">
        <v>38.571564784388563</v>
      </c>
      <c r="O28" s="221">
        <v>37.35678077399011</v>
      </c>
      <c r="P28" s="221">
        <v>34.250231613911176</v>
      </c>
      <c r="Q28" s="221">
        <v>32.143109502002865</v>
      </c>
      <c r="R28" s="221">
        <v>31.445609634956725</v>
      </c>
      <c r="S28" s="221">
        <v>30.257390781293783</v>
      </c>
      <c r="T28" s="221">
        <v>29.997711569908262</v>
      </c>
      <c r="U28" s="221">
        <v>28.627707208295725</v>
      </c>
      <c r="V28" s="221">
        <v>27.203430551433627</v>
      </c>
      <c r="W28" s="221">
        <v>26.655837766867062</v>
      </c>
      <c r="X28" s="221">
        <v>24.835727676553198</v>
      </c>
      <c r="Y28" s="221">
        <v>24.655118989314609</v>
      </c>
      <c r="Z28" s="221">
        <v>23.636279643453591</v>
      </c>
      <c r="AA28" s="221">
        <v>23.598160224268238</v>
      </c>
      <c r="AB28" s="221">
        <v>22.624136401609338</v>
      </c>
      <c r="AC28" s="221">
        <v>21.798436238478647</v>
      </c>
      <c r="AD28" s="221">
        <v>20.73301063390814</v>
      </c>
      <c r="AE28" s="221">
        <v>20.998148781417456</v>
      </c>
      <c r="AF28" s="221">
        <v>19.430288261525526</v>
      </c>
      <c r="AG28" s="221">
        <v>19.161399103498351</v>
      </c>
    </row>
    <row r="29" spans="1:33" x14ac:dyDescent="0.25">
      <c r="A29" s="218" t="s">
        <v>5</v>
      </c>
      <c r="B29" s="218" t="s">
        <v>314</v>
      </c>
      <c r="C29" s="218" t="s">
        <v>320</v>
      </c>
      <c r="D29" s="218" t="s">
        <v>190</v>
      </c>
      <c r="E29" s="218" t="s">
        <v>209</v>
      </c>
      <c r="F29" s="220">
        <v>55.955520629882813</v>
      </c>
      <c r="G29" s="220">
        <v>43.452354431152337</v>
      </c>
      <c r="H29" s="221">
        <v>48.668092391138686</v>
      </c>
      <c r="I29" s="221">
        <v>50.553431628294696</v>
      </c>
      <c r="J29" s="221">
        <v>45.823407671426523</v>
      </c>
      <c r="K29" s="221">
        <v>42.678484337197673</v>
      </c>
      <c r="L29" s="221">
        <v>39.601649447007603</v>
      </c>
      <c r="M29" s="221">
        <v>41.090750624359409</v>
      </c>
      <c r="N29" s="221">
        <v>39.664269664428488</v>
      </c>
      <c r="O29" s="221">
        <v>38.463092238056333</v>
      </c>
      <c r="P29" s="221">
        <v>35.417150882149393</v>
      </c>
      <c r="Q29" s="221">
        <v>33.451496065211678</v>
      </c>
      <c r="R29" s="221">
        <v>32.848690274489925</v>
      </c>
      <c r="S29" s="221">
        <v>31.777291864399842</v>
      </c>
      <c r="T29" s="221">
        <v>31.86533587154295</v>
      </c>
      <c r="U29" s="221">
        <v>30.714369074486154</v>
      </c>
      <c r="V29" s="221">
        <v>29.07235412127735</v>
      </c>
      <c r="W29" s="221">
        <v>28.987611398170198</v>
      </c>
      <c r="X29" s="221">
        <v>26.613799976924287</v>
      </c>
      <c r="Y29" s="221">
        <v>26.233541698403798</v>
      </c>
      <c r="Z29" s="221">
        <v>25.420979868646384</v>
      </c>
      <c r="AA29" s="221">
        <v>25.428377064364486</v>
      </c>
      <c r="AB29" s="221">
        <v>24.78936517637008</v>
      </c>
      <c r="AC29" s="221">
        <v>23.85320044551743</v>
      </c>
      <c r="AD29" s="221">
        <v>23.410716460814644</v>
      </c>
      <c r="AE29" s="221">
        <v>23.883148810524773</v>
      </c>
      <c r="AF29" s="221">
        <v>22.335512558163746</v>
      </c>
      <c r="AG29" s="221">
        <v>21.729790363731613</v>
      </c>
    </row>
    <row r="30" spans="1:33" x14ac:dyDescent="0.25">
      <c r="A30" s="218" t="s">
        <v>5</v>
      </c>
      <c r="B30" s="218" t="s">
        <v>314</v>
      </c>
      <c r="C30" s="218" t="s">
        <v>321</v>
      </c>
      <c r="D30" s="218" t="s">
        <v>190</v>
      </c>
      <c r="E30" s="218" t="s">
        <v>213</v>
      </c>
      <c r="F30" s="220">
        <v>64.784446716308594</v>
      </c>
      <c r="G30" s="220">
        <v>47.417060852050781</v>
      </c>
      <c r="H30" s="221">
        <v>52.116163957378241</v>
      </c>
      <c r="I30" s="221">
        <v>53.009694820835357</v>
      </c>
      <c r="J30" s="221">
        <v>48.269355078147896</v>
      </c>
      <c r="K30" s="221">
        <v>44.927589548274845</v>
      </c>
      <c r="L30" s="221">
        <v>41.757049688465287</v>
      </c>
      <c r="M30" s="221">
        <v>43.264385252120412</v>
      </c>
      <c r="N30" s="221">
        <v>41.955793233825418</v>
      </c>
      <c r="O30" s="221">
        <v>40.668595481389232</v>
      </c>
      <c r="P30" s="221">
        <v>37.364951443485225</v>
      </c>
      <c r="Q30" s="221">
        <v>35.495752417635536</v>
      </c>
      <c r="R30" s="221">
        <v>34.766132480916212</v>
      </c>
      <c r="S30" s="221">
        <v>33.658232823431881</v>
      </c>
      <c r="T30" s="221">
        <v>33.747274616084766</v>
      </c>
      <c r="U30" s="221">
        <v>32.529714130221166</v>
      </c>
      <c r="V30" s="221">
        <v>31.011568456249318</v>
      </c>
      <c r="W30" s="221">
        <v>30.999465429305857</v>
      </c>
      <c r="X30" s="221">
        <v>28.57614149905605</v>
      </c>
      <c r="Y30" s="221">
        <v>28.188064350937037</v>
      </c>
      <c r="Z30" s="221">
        <v>27.24640631082643</v>
      </c>
      <c r="AA30" s="221">
        <v>27.170808862364204</v>
      </c>
      <c r="AB30" s="221">
        <v>26.686159143618738</v>
      </c>
      <c r="AC30" s="221">
        <v>25.815671368335636</v>
      </c>
      <c r="AD30" s="221">
        <v>25.142744863060614</v>
      </c>
      <c r="AE30" s="221">
        <v>25.610123948416607</v>
      </c>
      <c r="AF30" s="221">
        <v>24.010269646758637</v>
      </c>
      <c r="AG30" s="221">
        <v>23.188675610884097</v>
      </c>
    </row>
    <row r="31" spans="1:33" x14ac:dyDescent="0.25">
      <c r="A31" s="218" t="s">
        <v>5</v>
      </c>
      <c r="B31" s="218" t="s">
        <v>314</v>
      </c>
      <c r="C31" s="218" t="s">
        <v>322</v>
      </c>
      <c r="D31" s="218" t="s">
        <v>190</v>
      </c>
      <c r="E31" s="218" t="s">
        <v>216</v>
      </c>
      <c r="F31" s="220">
        <v>64.784446716308594</v>
      </c>
      <c r="G31" s="220">
        <v>47.417060852050781</v>
      </c>
      <c r="H31" s="221">
        <v>52.818973339613045</v>
      </c>
      <c r="I31" s="221">
        <v>53.687179632329119</v>
      </c>
      <c r="J31" s="221">
        <v>49.157876530932803</v>
      </c>
      <c r="K31" s="221">
        <v>45.774135418514902</v>
      </c>
      <c r="L31" s="221">
        <v>42.627187145710721</v>
      </c>
      <c r="M31" s="221">
        <v>44.13524310362385</v>
      </c>
      <c r="N31" s="221">
        <v>42.200162586419779</v>
      </c>
      <c r="O31" s="221">
        <v>41.088853410467721</v>
      </c>
      <c r="P31" s="221">
        <v>38.141503361384331</v>
      </c>
      <c r="Q31" s="221">
        <v>36.201203329358002</v>
      </c>
      <c r="R31" s="221">
        <v>35.724723753830006</v>
      </c>
      <c r="S31" s="221">
        <v>34.665910255084214</v>
      </c>
      <c r="T31" s="221">
        <v>34.67766004059299</v>
      </c>
      <c r="U31" s="221">
        <v>33.493461526896994</v>
      </c>
      <c r="V31" s="221">
        <v>32.005904556879436</v>
      </c>
      <c r="W31" s="221">
        <v>32.064001210911485</v>
      </c>
      <c r="X31" s="221">
        <v>29.584823476094439</v>
      </c>
      <c r="Y31" s="221">
        <v>29.070017154525459</v>
      </c>
      <c r="Z31" s="221">
        <v>28.216204356452288</v>
      </c>
      <c r="AA31" s="221">
        <v>28.190645913724143</v>
      </c>
      <c r="AB31" s="221">
        <v>27.527590908621125</v>
      </c>
      <c r="AC31" s="221">
        <v>26.379653638879809</v>
      </c>
      <c r="AD31" s="221">
        <v>26.072586557674828</v>
      </c>
      <c r="AE31" s="221">
        <v>26.649123750843469</v>
      </c>
      <c r="AF31" s="221">
        <v>24.921465809307644</v>
      </c>
      <c r="AG31" s="221">
        <v>24.139892283641693</v>
      </c>
    </row>
    <row r="32" spans="1:33" x14ac:dyDescent="0.25">
      <c r="A32" s="218" t="s">
        <v>5</v>
      </c>
      <c r="B32" s="218" t="s">
        <v>314</v>
      </c>
      <c r="C32" s="218" t="s">
        <v>323</v>
      </c>
      <c r="D32" s="218" t="s">
        <v>190</v>
      </c>
      <c r="E32" s="218" t="s">
        <v>220</v>
      </c>
      <c r="F32" s="220">
        <v>64.804191589355469</v>
      </c>
      <c r="G32" s="220">
        <v>48.381008148193359</v>
      </c>
      <c r="H32" s="221">
        <v>52.265278974245028</v>
      </c>
      <c r="I32" s="221">
        <v>53.164883537828935</v>
      </c>
      <c r="J32" s="221">
        <v>48.480802921691975</v>
      </c>
      <c r="K32" s="221">
        <v>45.25735966836497</v>
      </c>
      <c r="L32" s="221">
        <v>42.101287257592332</v>
      </c>
      <c r="M32" s="221">
        <v>43.542516603529208</v>
      </c>
      <c r="N32" s="221">
        <v>42.258531896202122</v>
      </c>
      <c r="O32" s="221">
        <v>41.068342647883021</v>
      </c>
      <c r="P32" s="221">
        <v>37.910946348602252</v>
      </c>
      <c r="Q32" s="221">
        <v>35.83144655016546</v>
      </c>
      <c r="R32" s="221">
        <v>35.234929089608357</v>
      </c>
      <c r="S32" s="221">
        <v>34.162879577957447</v>
      </c>
      <c r="T32" s="221">
        <v>34.253394839078894</v>
      </c>
      <c r="U32" s="221">
        <v>32.938916439084736</v>
      </c>
      <c r="V32" s="221">
        <v>31.373806797127834</v>
      </c>
      <c r="W32" s="221">
        <v>31.527437391607517</v>
      </c>
      <c r="X32" s="221">
        <v>29.037218792095853</v>
      </c>
      <c r="Y32" s="221">
        <v>28.570159394724953</v>
      </c>
      <c r="Z32" s="221">
        <v>27.685847011356259</v>
      </c>
      <c r="AA32" s="221">
        <v>27.701714824225341</v>
      </c>
      <c r="AB32" s="221">
        <v>27.190851998808863</v>
      </c>
      <c r="AC32" s="221">
        <v>26.130181326890387</v>
      </c>
      <c r="AD32" s="221">
        <v>25.714390619271988</v>
      </c>
      <c r="AE32" s="221">
        <v>26.143323345665703</v>
      </c>
      <c r="AF32" s="221">
        <v>24.645534639878235</v>
      </c>
      <c r="AG32" s="221">
        <v>23.664984462569048</v>
      </c>
    </row>
    <row r="33" spans="1:33" x14ac:dyDescent="0.25">
      <c r="A33" s="218" t="s">
        <v>5</v>
      </c>
      <c r="B33" s="218" t="s">
        <v>314</v>
      </c>
      <c r="C33" s="218" t="s">
        <v>324</v>
      </c>
      <c r="D33" s="218" t="s">
        <v>190</v>
      </c>
      <c r="E33" s="218" t="s">
        <v>224</v>
      </c>
      <c r="F33" s="220">
        <v>64.804191589355469</v>
      </c>
      <c r="G33" s="220">
        <v>48.381008148193359</v>
      </c>
      <c r="H33" s="221">
        <v>53.262194440447956</v>
      </c>
      <c r="I33" s="221">
        <v>53.732680773731303</v>
      </c>
      <c r="J33" s="221">
        <v>48.676615870700203</v>
      </c>
      <c r="K33" s="221">
        <v>45.301193088575936</v>
      </c>
      <c r="L33" s="221">
        <v>42.142601395375152</v>
      </c>
      <c r="M33" s="221">
        <v>43.647083831082981</v>
      </c>
      <c r="N33" s="221">
        <v>42.19746436188781</v>
      </c>
      <c r="O33" s="221">
        <v>41.042815761002117</v>
      </c>
      <c r="P33" s="221">
        <v>37.737328977284818</v>
      </c>
      <c r="Q33" s="221">
        <v>35.78606402998642</v>
      </c>
      <c r="R33" s="221">
        <v>35.313224573064765</v>
      </c>
      <c r="S33" s="221">
        <v>34.195757426227743</v>
      </c>
      <c r="T33" s="221">
        <v>34.304520767638529</v>
      </c>
      <c r="U33" s="221">
        <v>33.036527649036735</v>
      </c>
      <c r="V33" s="221">
        <v>31.482214617654087</v>
      </c>
      <c r="W33" s="221">
        <v>31.484518471415978</v>
      </c>
      <c r="X33" s="221">
        <v>29.033397677714866</v>
      </c>
      <c r="Y33" s="221">
        <v>28.669833365009826</v>
      </c>
      <c r="Z33" s="221">
        <v>27.647291840570784</v>
      </c>
      <c r="AA33" s="221">
        <v>27.605237058357524</v>
      </c>
      <c r="AB33" s="221">
        <v>27.153057540310932</v>
      </c>
      <c r="AC33" s="221">
        <v>26.396314460956052</v>
      </c>
      <c r="AD33" s="221">
        <v>25.755789194694284</v>
      </c>
      <c r="AE33" s="221">
        <v>26.266105024195038</v>
      </c>
      <c r="AF33" s="221">
        <v>24.695974930349912</v>
      </c>
      <c r="AG33" s="221">
        <v>24.068411165035354</v>
      </c>
    </row>
    <row r="34" spans="1:33" x14ac:dyDescent="0.25">
      <c r="A34" s="218" t="s">
        <v>5</v>
      </c>
      <c r="B34" s="218" t="s">
        <v>314</v>
      </c>
      <c r="C34" s="218" t="s">
        <v>325</v>
      </c>
      <c r="D34" s="218" t="s">
        <v>190</v>
      </c>
      <c r="E34" s="218" t="s">
        <v>228</v>
      </c>
      <c r="F34" s="220">
        <v>67.000030517578125</v>
      </c>
      <c r="G34" s="220">
        <v>49.823940277099609</v>
      </c>
      <c r="H34" s="221">
        <v>56.81137079647965</v>
      </c>
      <c r="I34" s="221">
        <v>57.582966158690162</v>
      </c>
      <c r="J34" s="221">
        <v>52.253356282392311</v>
      </c>
      <c r="K34" s="221">
        <v>48.556334621823012</v>
      </c>
      <c r="L34" s="221">
        <v>45.131460114079495</v>
      </c>
      <c r="M34" s="221">
        <v>46.160037766592332</v>
      </c>
      <c r="N34" s="221">
        <v>44.645225487914736</v>
      </c>
      <c r="O34" s="221">
        <v>42.868366519240929</v>
      </c>
      <c r="P34" s="221">
        <v>39.249013869224797</v>
      </c>
      <c r="Q34" s="221">
        <v>37.003340980505072</v>
      </c>
      <c r="R34" s="221">
        <v>36.39114876725057</v>
      </c>
      <c r="S34" s="221">
        <v>35.455953934228589</v>
      </c>
      <c r="T34" s="221">
        <v>35.759632780367639</v>
      </c>
      <c r="U34" s="221">
        <v>34.565115591141122</v>
      </c>
      <c r="V34" s="221">
        <v>32.789828561335582</v>
      </c>
      <c r="W34" s="221">
        <v>32.775398051716131</v>
      </c>
      <c r="X34" s="221">
        <v>30.414297414418421</v>
      </c>
      <c r="Y34" s="221">
        <v>30.234723204101286</v>
      </c>
      <c r="Z34" s="221">
        <v>29.202199341518853</v>
      </c>
      <c r="AA34" s="221">
        <v>29.263101546432484</v>
      </c>
      <c r="AB34" s="221">
        <v>29.173762060308082</v>
      </c>
      <c r="AC34" s="221">
        <v>28.221517853287001</v>
      </c>
      <c r="AD34" s="221">
        <v>27.629766012062849</v>
      </c>
      <c r="AE34" s="221">
        <v>28.359601836060389</v>
      </c>
      <c r="AF34" s="221">
        <v>26.648670117743944</v>
      </c>
      <c r="AG34" s="221">
        <v>25.671214956205201</v>
      </c>
    </row>
    <row r="35" spans="1:33" x14ac:dyDescent="0.25">
      <c r="A35" s="218" t="s">
        <v>5</v>
      </c>
      <c r="B35" s="218" t="s">
        <v>314</v>
      </c>
      <c r="C35" s="218" t="s">
        <v>326</v>
      </c>
      <c r="D35" s="218" t="s">
        <v>194</v>
      </c>
      <c r="E35" s="218" t="s">
        <v>184</v>
      </c>
      <c r="F35" s="220">
        <v>55.575904846191413</v>
      </c>
      <c r="G35" s="220">
        <v>44.727138519287109</v>
      </c>
      <c r="H35" s="221">
        <v>44.121075084657896</v>
      </c>
      <c r="I35" s="221">
        <v>47.234847024992774</v>
      </c>
      <c r="J35" s="221">
        <v>42.703457298811898</v>
      </c>
      <c r="K35" s="221">
        <v>39.979471226223524</v>
      </c>
      <c r="L35" s="221">
        <v>36.962323536096967</v>
      </c>
      <c r="M35" s="221">
        <v>38.40399416846315</v>
      </c>
      <c r="N35" s="221">
        <v>37.012601318289107</v>
      </c>
      <c r="O35" s="221">
        <v>35.914652228742952</v>
      </c>
      <c r="P35" s="221">
        <v>33.060989029907276</v>
      </c>
      <c r="Q35" s="221">
        <v>31.003983922540176</v>
      </c>
      <c r="R35" s="221">
        <v>30.447046554339597</v>
      </c>
      <c r="S35" s="221">
        <v>29.228503276058301</v>
      </c>
      <c r="T35" s="221">
        <v>28.938430830961757</v>
      </c>
      <c r="U35" s="221">
        <v>27.538978088180894</v>
      </c>
      <c r="V35" s="221">
        <v>26.086030892368953</v>
      </c>
      <c r="W35" s="221">
        <v>24.925331410509624</v>
      </c>
      <c r="X35" s="221">
        <v>23.851212503529236</v>
      </c>
      <c r="Y35" s="221">
        <v>23.431306063363497</v>
      </c>
      <c r="Z35" s="221">
        <v>22.376743219474164</v>
      </c>
      <c r="AA35" s="221">
        <v>22.180325026200133</v>
      </c>
      <c r="AB35" s="221">
        <v>21.213971573157764</v>
      </c>
      <c r="AC35" s="221">
        <v>20.057259951923971</v>
      </c>
      <c r="AD35" s="221">
        <v>19.241451448634724</v>
      </c>
      <c r="AE35" s="221">
        <v>19.100030857991452</v>
      </c>
      <c r="AF35" s="221">
        <v>17.480862571682195</v>
      </c>
      <c r="AG35" s="221">
        <v>16.930307283737651</v>
      </c>
    </row>
    <row r="36" spans="1:33" x14ac:dyDescent="0.25">
      <c r="A36" s="218" t="s">
        <v>5</v>
      </c>
      <c r="B36" s="218" t="s">
        <v>314</v>
      </c>
      <c r="C36" s="218" t="s">
        <v>327</v>
      </c>
      <c r="D36" s="218" t="s">
        <v>194</v>
      </c>
      <c r="E36" s="218" t="s">
        <v>191</v>
      </c>
      <c r="F36" s="220">
        <v>55.234516143798828</v>
      </c>
      <c r="G36" s="220">
        <v>44.501983642578132</v>
      </c>
      <c r="H36" s="221">
        <v>44.457192940476489</v>
      </c>
      <c r="I36" s="221">
        <v>47.532692811403528</v>
      </c>
      <c r="J36" s="221">
        <v>43.053566806737877</v>
      </c>
      <c r="K36" s="221">
        <v>40.305439836897612</v>
      </c>
      <c r="L36" s="221">
        <v>37.307838504653745</v>
      </c>
      <c r="M36" s="221">
        <v>38.745789003699521</v>
      </c>
      <c r="N36" s="221">
        <v>37.287969613878786</v>
      </c>
      <c r="O36" s="221">
        <v>36.222911580055182</v>
      </c>
      <c r="P36" s="221">
        <v>33.379683768507626</v>
      </c>
      <c r="Q36" s="221">
        <v>31.307045759338514</v>
      </c>
      <c r="R36" s="221">
        <v>30.688943217488681</v>
      </c>
      <c r="S36" s="221">
        <v>29.491019005577126</v>
      </c>
      <c r="T36" s="221">
        <v>29.12987600493733</v>
      </c>
      <c r="U36" s="221">
        <v>27.92682780300073</v>
      </c>
      <c r="V36" s="221">
        <v>26.446006871649736</v>
      </c>
      <c r="W36" s="221">
        <v>25.40633068721452</v>
      </c>
      <c r="X36" s="221">
        <v>24.070967338508524</v>
      </c>
      <c r="Y36" s="221">
        <v>23.854911941076288</v>
      </c>
      <c r="Z36" s="221">
        <v>22.738431438694835</v>
      </c>
      <c r="AA36" s="221">
        <v>22.664825730733302</v>
      </c>
      <c r="AB36" s="221">
        <v>21.518446619359256</v>
      </c>
      <c r="AC36" s="221">
        <v>20.640953811756031</v>
      </c>
      <c r="AD36" s="221">
        <v>19.611483739413401</v>
      </c>
      <c r="AE36" s="221">
        <v>19.821188620438068</v>
      </c>
      <c r="AF36" s="221">
        <v>18.066464016905165</v>
      </c>
      <c r="AG36" s="221">
        <v>17.729480551356644</v>
      </c>
    </row>
    <row r="37" spans="1:33" x14ac:dyDescent="0.25">
      <c r="A37" s="218" t="s">
        <v>5</v>
      </c>
      <c r="B37" s="218" t="s">
        <v>314</v>
      </c>
      <c r="C37" s="218" t="s">
        <v>328</v>
      </c>
      <c r="D37" s="218" t="s">
        <v>194</v>
      </c>
      <c r="E37" s="218" t="s">
        <v>196</v>
      </c>
      <c r="F37" s="220">
        <v>46.106292724609382</v>
      </c>
      <c r="G37" s="220">
        <v>37.283676147460938</v>
      </c>
      <c r="H37" s="221">
        <v>45.267581634977354</v>
      </c>
      <c r="I37" s="221">
        <v>48.169855077314068</v>
      </c>
      <c r="J37" s="221">
        <v>43.666980651424645</v>
      </c>
      <c r="K37" s="221">
        <v>40.927234816837604</v>
      </c>
      <c r="L37" s="221">
        <v>37.761897021785657</v>
      </c>
      <c r="M37" s="221">
        <v>39.320801013887412</v>
      </c>
      <c r="N37" s="221">
        <v>37.926206867873773</v>
      </c>
      <c r="O37" s="221">
        <v>36.884212413949371</v>
      </c>
      <c r="P37" s="221">
        <v>33.976820071113011</v>
      </c>
      <c r="Q37" s="221">
        <v>32.057331352096377</v>
      </c>
      <c r="R37" s="221">
        <v>31.460815894228169</v>
      </c>
      <c r="S37" s="221">
        <v>30.427878590032265</v>
      </c>
      <c r="T37" s="221">
        <v>30.201171873172822</v>
      </c>
      <c r="U37" s="221">
        <v>29.041089328961565</v>
      </c>
      <c r="V37" s="221">
        <v>27.678042696049836</v>
      </c>
      <c r="W37" s="221">
        <v>27.138976556562909</v>
      </c>
      <c r="X37" s="221">
        <v>24.553739738321291</v>
      </c>
      <c r="Y37" s="221">
        <v>24.259523709025419</v>
      </c>
      <c r="Z37" s="221">
        <v>23.174823058879838</v>
      </c>
      <c r="AA37" s="221">
        <v>23.128305429541616</v>
      </c>
      <c r="AB37" s="221">
        <v>21.954873995090917</v>
      </c>
      <c r="AC37" s="221">
        <v>21.058449588507401</v>
      </c>
      <c r="AD37" s="221">
        <v>19.943572982073565</v>
      </c>
      <c r="AE37" s="221">
        <v>20.183040015324856</v>
      </c>
      <c r="AF37" s="221">
        <v>18.501234596397207</v>
      </c>
      <c r="AG37" s="221">
        <v>18.061169765030428</v>
      </c>
    </row>
    <row r="38" spans="1:33" x14ac:dyDescent="0.25">
      <c r="A38" s="218" t="s">
        <v>5</v>
      </c>
      <c r="B38" s="218" t="s">
        <v>314</v>
      </c>
      <c r="C38" s="218" t="s">
        <v>329</v>
      </c>
      <c r="D38" s="218" t="s">
        <v>194</v>
      </c>
      <c r="E38" s="218" t="s">
        <v>201</v>
      </c>
      <c r="F38" s="220">
        <v>45.744026184082031</v>
      </c>
      <c r="G38" s="220">
        <v>36.957622528076172</v>
      </c>
      <c r="H38" s="221">
        <v>44.480578515090045</v>
      </c>
      <c r="I38" s="221">
        <v>47.483133412241592</v>
      </c>
      <c r="J38" s="221">
        <v>43.006884897142861</v>
      </c>
      <c r="K38" s="221">
        <v>40.262937108652302</v>
      </c>
      <c r="L38" s="221">
        <v>37.162087797249292</v>
      </c>
      <c r="M38" s="221">
        <v>38.687608974876561</v>
      </c>
      <c r="N38" s="221">
        <v>37.266256070652766</v>
      </c>
      <c r="O38" s="221">
        <v>36.223249211358812</v>
      </c>
      <c r="P38" s="221">
        <v>33.446055329411358</v>
      </c>
      <c r="Q38" s="221">
        <v>31.501174383236393</v>
      </c>
      <c r="R38" s="221">
        <v>30.892248738284401</v>
      </c>
      <c r="S38" s="221">
        <v>29.83500211402847</v>
      </c>
      <c r="T38" s="221">
        <v>29.611879972945442</v>
      </c>
      <c r="U38" s="221">
        <v>28.506067659283538</v>
      </c>
      <c r="V38" s="221">
        <v>27.104732952146858</v>
      </c>
      <c r="W38" s="221">
        <v>26.571976224796916</v>
      </c>
      <c r="X38" s="221">
        <v>23.972793524078249</v>
      </c>
      <c r="Y38" s="221">
        <v>23.603923087215552</v>
      </c>
      <c r="Z38" s="221">
        <v>22.59246218170443</v>
      </c>
      <c r="AA38" s="221">
        <v>22.50810756562829</v>
      </c>
      <c r="AB38" s="221">
        <v>21.340045970023521</v>
      </c>
      <c r="AC38" s="221">
        <v>20.39842139045896</v>
      </c>
      <c r="AD38" s="221">
        <v>19.419468791914959</v>
      </c>
      <c r="AE38" s="221">
        <v>19.68038686218155</v>
      </c>
      <c r="AF38" s="221">
        <v>17.964076428871088</v>
      </c>
      <c r="AG38" s="221">
        <v>17.433067128650162</v>
      </c>
    </row>
    <row r="39" spans="1:33" x14ac:dyDescent="0.25">
      <c r="A39" s="218" t="s">
        <v>5</v>
      </c>
      <c r="B39" s="218" t="s">
        <v>314</v>
      </c>
      <c r="C39" s="218" t="s">
        <v>330</v>
      </c>
      <c r="D39" s="218" t="s">
        <v>194</v>
      </c>
      <c r="E39" s="218" t="s">
        <v>205</v>
      </c>
      <c r="F39" s="220">
        <v>45.744026184082031</v>
      </c>
      <c r="G39" s="220">
        <v>36.957622528076172</v>
      </c>
      <c r="H39" s="221">
        <v>45.064759355145249</v>
      </c>
      <c r="I39" s="221">
        <v>48.454823484426008</v>
      </c>
      <c r="J39" s="221">
        <v>43.93883524273123</v>
      </c>
      <c r="K39" s="221">
        <v>41.161534387514109</v>
      </c>
      <c r="L39" s="221">
        <v>37.974730496418516</v>
      </c>
      <c r="M39" s="221">
        <v>39.412756388087502</v>
      </c>
      <c r="N39" s="221">
        <v>37.905041766179679</v>
      </c>
      <c r="O39" s="221">
        <v>36.834391225035873</v>
      </c>
      <c r="P39" s="221">
        <v>33.800209793394764</v>
      </c>
      <c r="Q39" s="221">
        <v>31.768815228484346</v>
      </c>
      <c r="R39" s="221">
        <v>31.121394465714573</v>
      </c>
      <c r="S39" s="221">
        <v>29.908142137498981</v>
      </c>
      <c r="T39" s="221">
        <v>29.6519774202295</v>
      </c>
      <c r="U39" s="221">
        <v>28.340103773827714</v>
      </c>
      <c r="V39" s="221">
        <v>26.827479491309823</v>
      </c>
      <c r="W39" s="221">
        <v>26.220819354166782</v>
      </c>
      <c r="X39" s="221">
        <v>24.372913957295186</v>
      </c>
      <c r="Y39" s="221">
        <v>24.048798432848596</v>
      </c>
      <c r="Z39" s="221">
        <v>23.011551684626749</v>
      </c>
      <c r="AA39" s="221">
        <v>22.966323377078055</v>
      </c>
      <c r="AB39" s="221">
        <v>21.844075412340594</v>
      </c>
      <c r="AC39" s="221">
        <v>20.856721192027603</v>
      </c>
      <c r="AD39" s="221">
        <v>19.856763635948116</v>
      </c>
      <c r="AE39" s="221">
        <v>20.051767336518871</v>
      </c>
      <c r="AF39" s="221">
        <v>18.479712440238011</v>
      </c>
      <c r="AG39" s="221">
        <v>18.02916162658612</v>
      </c>
    </row>
    <row r="40" spans="1:33" x14ac:dyDescent="0.25">
      <c r="A40" s="218" t="s">
        <v>5</v>
      </c>
      <c r="B40" s="218" t="s">
        <v>314</v>
      </c>
      <c r="C40" s="218" t="s">
        <v>331</v>
      </c>
      <c r="D40" s="218" t="s">
        <v>194</v>
      </c>
      <c r="E40" s="218" t="s">
        <v>209</v>
      </c>
      <c r="F40" s="220">
        <v>54.996665954589837</v>
      </c>
      <c r="G40" s="220">
        <v>43.017318725585938</v>
      </c>
      <c r="H40" s="221">
        <v>47.895437885400227</v>
      </c>
      <c r="I40" s="221">
        <v>50.048153376003434</v>
      </c>
      <c r="J40" s="221">
        <v>45.402019996543423</v>
      </c>
      <c r="K40" s="221">
        <v>42.325483644779119</v>
      </c>
      <c r="L40" s="221">
        <v>39.226355027376918</v>
      </c>
      <c r="M40" s="221">
        <v>40.730942268180243</v>
      </c>
      <c r="N40" s="221">
        <v>39.315400049850304</v>
      </c>
      <c r="O40" s="221">
        <v>38.22916195255717</v>
      </c>
      <c r="P40" s="221">
        <v>35.255035147472448</v>
      </c>
      <c r="Q40" s="221">
        <v>33.33692530980835</v>
      </c>
      <c r="R40" s="221">
        <v>32.803830259745624</v>
      </c>
      <c r="S40" s="221">
        <v>31.705188633308946</v>
      </c>
      <c r="T40" s="221">
        <v>31.789039186707591</v>
      </c>
      <c r="U40" s="221">
        <v>30.675313580497743</v>
      </c>
      <c r="V40" s="221">
        <v>29.012454957077662</v>
      </c>
      <c r="W40" s="221">
        <v>28.873946772309875</v>
      </c>
      <c r="X40" s="221">
        <v>26.478600536061276</v>
      </c>
      <c r="Y40" s="221">
        <v>26.001614063093022</v>
      </c>
      <c r="Z40" s="221">
        <v>25.177214999713922</v>
      </c>
      <c r="AA40" s="221">
        <v>25.168798427620278</v>
      </c>
      <c r="AB40" s="221">
        <v>24.42305529017867</v>
      </c>
      <c r="AC40" s="221">
        <v>23.374759429728016</v>
      </c>
      <c r="AD40" s="221">
        <v>22.932343813888778</v>
      </c>
      <c r="AE40" s="221">
        <v>23.340083818714394</v>
      </c>
      <c r="AF40" s="221">
        <v>21.835900946688131</v>
      </c>
      <c r="AG40" s="221">
        <v>21.088535293724615</v>
      </c>
    </row>
    <row r="41" spans="1:33" x14ac:dyDescent="0.25">
      <c r="A41" s="218" t="s">
        <v>5</v>
      </c>
      <c r="B41" s="218" t="s">
        <v>314</v>
      </c>
      <c r="C41" s="218" t="s">
        <v>332</v>
      </c>
      <c r="D41" s="218" t="s">
        <v>194</v>
      </c>
      <c r="E41" s="218" t="s">
        <v>213</v>
      </c>
      <c r="F41" s="220">
        <v>63.495990753173828</v>
      </c>
      <c r="G41" s="220">
        <v>46.966960906982422</v>
      </c>
      <c r="H41" s="221">
        <v>51.348326347271957</v>
      </c>
      <c r="I41" s="221">
        <v>52.50794454751211</v>
      </c>
      <c r="J41" s="221">
        <v>47.871310643270284</v>
      </c>
      <c r="K41" s="221">
        <v>44.586815230766604</v>
      </c>
      <c r="L41" s="221">
        <v>41.39168855972283</v>
      </c>
      <c r="M41" s="221">
        <v>42.94571232058864</v>
      </c>
      <c r="N41" s="221">
        <v>41.642481035630112</v>
      </c>
      <c r="O41" s="221">
        <v>40.460827376754004</v>
      </c>
      <c r="P41" s="221">
        <v>37.233899485854074</v>
      </c>
      <c r="Q41" s="221">
        <v>35.412856256423474</v>
      </c>
      <c r="R41" s="221">
        <v>34.724893115290655</v>
      </c>
      <c r="S41" s="221">
        <v>33.607411360515613</v>
      </c>
      <c r="T41" s="221">
        <v>33.690285255979575</v>
      </c>
      <c r="U41" s="221">
        <v>32.506500099854385</v>
      </c>
      <c r="V41" s="221">
        <v>30.948189984828073</v>
      </c>
      <c r="W41" s="221">
        <v>30.891607064641992</v>
      </c>
      <c r="X41" s="221">
        <v>28.468843909910788</v>
      </c>
      <c r="Y41" s="221">
        <v>27.989717722677696</v>
      </c>
      <c r="Z41" s="221">
        <v>27.020784817823035</v>
      </c>
      <c r="AA41" s="221">
        <v>26.920228279950038</v>
      </c>
      <c r="AB41" s="221">
        <v>26.343020133319836</v>
      </c>
      <c r="AC41" s="221">
        <v>25.308674223967191</v>
      </c>
      <c r="AD41" s="221">
        <v>24.649456702397384</v>
      </c>
      <c r="AE41" s="221">
        <v>25.060356746196796</v>
      </c>
      <c r="AF41" s="221">
        <v>23.492447632486442</v>
      </c>
      <c r="AG41" s="221">
        <v>22.512540250110831</v>
      </c>
    </row>
    <row r="42" spans="1:33" x14ac:dyDescent="0.25">
      <c r="A42" s="218" t="s">
        <v>5</v>
      </c>
      <c r="B42" s="218" t="s">
        <v>314</v>
      </c>
      <c r="C42" s="218" t="s">
        <v>333</v>
      </c>
      <c r="D42" s="218" t="s">
        <v>194</v>
      </c>
      <c r="E42" s="218" t="s">
        <v>216</v>
      </c>
      <c r="F42" s="220">
        <v>63.495990753173828</v>
      </c>
      <c r="G42" s="220">
        <v>46.966960906982422</v>
      </c>
      <c r="H42" s="221">
        <v>52.01049232198443</v>
      </c>
      <c r="I42" s="221">
        <v>53.146897634804979</v>
      </c>
      <c r="J42" s="221">
        <v>48.689616146159565</v>
      </c>
      <c r="K42" s="221">
        <v>45.375961124818339</v>
      </c>
      <c r="L42" s="221">
        <v>42.192191304276029</v>
      </c>
      <c r="M42" s="221">
        <v>43.736093571397404</v>
      </c>
      <c r="N42" s="221">
        <v>41.856645569281127</v>
      </c>
      <c r="O42" s="221">
        <v>40.831578167694275</v>
      </c>
      <c r="P42" s="221">
        <v>37.955171643946386</v>
      </c>
      <c r="Q42" s="221">
        <v>36.046827658998801</v>
      </c>
      <c r="R42" s="221">
        <v>35.598318865746094</v>
      </c>
      <c r="S42" s="221">
        <v>34.522608483671036</v>
      </c>
      <c r="T42" s="221">
        <v>34.559963322903961</v>
      </c>
      <c r="U42" s="221">
        <v>33.392231777179148</v>
      </c>
      <c r="V42" s="221">
        <v>31.856041149032158</v>
      </c>
      <c r="W42" s="221">
        <v>31.864707630587688</v>
      </c>
      <c r="X42" s="221">
        <v>29.378433454570711</v>
      </c>
      <c r="Y42" s="221">
        <v>28.787072528962049</v>
      </c>
      <c r="Z42" s="221">
        <v>27.904812927513554</v>
      </c>
      <c r="AA42" s="221">
        <v>27.827251990237503</v>
      </c>
      <c r="AB42" s="221">
        <v>27.096126634244328</v>
      </c>
      <c r="AC42" s="221">
        <v>25.836886070128372</v>
      </c>
      <c r="AD42" s="221">
        <v>25.476170181481219</v>
      </c>
      <c r="AE42" s="221">
        <v>25.973176827571017</v>
      </c>
      <c r="AF42" s="221">
        <v>24.287666405374395</v>
      </c>
      <c r="AG42" s="221">
        <v>23.349624339269972</v>
      </c>
    </row>
    <row r="43" spans="1:33" x14ac:dyDescent="0.25">
      <c r="A43" s="218" t="s">
        <v>5</v>
      </c>
      <c r="B43" s="218" t="s">
        <v>314</v>
      </c>
      <c r="C43" s="218" t="s">
        <v>334</v>
      </c>
      <c r="D43" s="218" t="s">
        <v>194</v>
      </c>
      <c r="E43" s="218" t="s">
        <v>220</v>
      </c>
      <c r="F43" s="220">
        <v>63.516193389892578</v>
      </c>
      <c r="G43" s="220">
        <v>47.905361175537109</v>
      </c>
      <c r="H43" s="221">
        <v>51.504709686499254</v>
      </c>
      <c r="I43" s="221">
        <v>52.67926074072961</v>
      </c>
      <c r="J43" s="221">
        <v>48.100563485597071</v>
      </c>
      <c r="K43" s="221">
        <v>44.938639401821547</v>
      </c>
      <c r="L43" s="221">
        <v>41.749023425494777</v>
      </c>
      <c r="M43" s="221">
        <v>43.231477659649592</v>
      </c>
      <c r="N43" s="221">
        <v>41.940616018586176</v>
      </c>
      <c r="O43" s="221">
        <v>40.863778382353622</v>
      </c>
      <c r="P43" s="221">
        <v>37.779631957865284</v>
      </c>
      <c r="Q43" s="221">
        <v>35.755944385489421</v>
      </c>
      <c r="R43" s="221">
        <v>35.211780632396042</v>
      </c>
      <c r="S43" s="221">
        <v>34.114597251021785</v>
      </c>
      <c r="T43" s="221">
        <v>34.192542450277095</v>
      </c>
      <c r="U43" s="221">
        <v>32.916622845980697</v>
      </c>
      <c r="V43" s="221">
        <v>31.307204503280797</v>
      </c>
      <c r="W43" s="221">
        <v>31.416396458081877</v>
      </c>
      <c r="X43" s="221">
        <v>28.915531720465268</v>
      </c>
      <c r="Y43" s="221">
        <v>28.383012835173357</v>
      </c>
      <c r="Z43" s="221">
        <v>27.449234898266106</v>
      </c>
      <c r="AA43" s="221">
        <v>27.43341193757902</v>
      </c>
      <c r="AB43" s="221">
        <v>26.808959550902728</v>
      </c>
      <c r="AC43" s="221">
        <v>25.631788591600394</v>
      </c>
      <c r="AD43" s="221">
        <v>25.193083523813662</v>
      </c>
      <c r="AE43" s="221">
        <v>25.565189588462879</v>
      </c>
      <c r="AF43" s="221">
        <v>24.07689774169879</v>
      </c>
      <c r="AG43" s="221">
        <v>22.963785578470041</v>
      </c>
    </row>
    <row r="44" spans="1:33" x14ac:dyDescent="0.25">
      <c r="A44" s="218" t="s">
        <v>5</v>
      </c>
      <c r="B44" s="218" t="s">
        <v>314</v>
      </c>
      <c r="C44" s="218" t="s">
        <v>335</v>
      </c>
      <c r="D44" s="218" t="s">
        <v>194</v>
      </c>
      <c r="E44" s="218" t="s">
        <v>224</v>
      </c>
      <c r="F44" s="220">
        <v>63.516193389892578</v>
      </c>
      <c r="G44" s="220">
        <v>47.905361175537109</v>
      </c>
      <c r="H44" s="221">
        <v>52.483587801057013</v>
      </c>
      <c r="I44" s="221">
        <v>53.249974771744299</v>
      </c>
      <c r="J44" s="221">
        <v>48.312513034126667</v>
      </c>
      <c r="K44" s="221">
        <v>44.992958603122531</v>
      </c>
      <c r="L44" s="221">
        <v>41.802753004366515</v>
      </c>
      <c r="M44" s="221">
        <v>43.341809479859833</v>
      </c>
      <c r="N44" s="221">
        <v>41.894820127214473</v>
      </c>
      <c r="O44" s="221">
        <v>40.832476264955361</v>
      </c>
      <c r="P44" s="221">
        <v>37.610763908214039</v>
      </c>
      <c r="Q44" s="221">
        <v>35.698275084310247</v>
      </c>
      <c r="R44" s="221">
        <v>35.26200408860656</v>
      </c>
      <c r="S44" s="221">
        <v>34.132601848032266</v>
      </c>
      <c r="T44" s="221">
        <v>34.233967720481758</v>
      </c>
      <c r="U44" s="221">
        <v>32.996038560228747</v>
      </c>
      <c r="V44" s="221">
        <v>31.393571212170652</v>
      </c>
      <c r="W44" s="221">
        <v>31.355207145619968</v>
      </c>
      <c r="X44" s="221">
        <v>28.912887325624325</v>
      </c>
      <c r="Y44" s="221">
        <v>28.453122891566917</v>
      </c>
      <c r="Z44" s="221">
        <v>27.40382571196222</v>
      </c>
      <c r="AA44" s="221">
        <v>27.336152934336909</v>
      </c>
      <c r="AB44" s="221">
        <v>26.793886081775888</v>
      </c>
      <c r="AC44" s="221">
        <v>25.858716565228757</v>
      </c>
      <c r="AD44" s="221">
        <v>25.230507168497688</v>
      </c>
      <c r="AE44" s="221">
        <v>25.693104201021548</v>
      </c>
      <c r="AF44" s="221">
        <v>24.151604222887411</v>
      </c>
      <c r="AG44" s="221">
        <v>23.341326328660603</v>
      </c>
    </row>
    <row r="45" spans="1:33" x14ac:dyDescent="0.25">
      <c r="A45" s="218" t="s">
        <v>5</v>
      </c>
      <c r="B45" s="218" t="s">
        <v>314</v>
      </c>
      <c r="C45" s="218" t="s">
        <v>336</v>
      </c>
      <c r="D45" s="218" t="s">
        <v>194</v>
      </c>
      <c r="E45" s="218" t="s">
        <v>228</v>
      </c>
      <c r="F45" s="220">
        <v>65.638046264648438</v>
      </c>
      <c r="G45" s="220">
        <v>49.277286529541023</v>
      </c>
      <c r="H45" s="221">
        <v>56.035439463144897</v>
      </c>
      <c r="I45" s="221">
        <v>57.101818575040213</v>
      </c>
      <c r="J45" s="221">
        <v>51.872209785432048</v>
      </c>
      <c r="K45" s="221">
        <v>48.28537700253662</v>
      </c>
      <c r="L45" s="221">
        <v>44.813324221882638</v>
      </c>
      <c r="M45" s="221">
        <v>45.866309369237044</v>
      </c>
      <c r="N45" s="221">
        <v>44.37777000540612</v>
      </c>
      <c r="O45" s="221">
        <v>42.677710108289524</v>
      </c>
      <c r="P45" s="221">
        <v>39.146325120707381</v>
      </c>
      <c r="Q45" s="221">
        <v>36.927162585356825</v>
      </c>
      <c r="R45" s="221">
        <v>36.356959089907456</v>
      </c>
      <c r="S45" s="221">
        <v>35.401378394608329</v>
      </c>
      <c r="T45" s="221">
        <v>35.692679009663905</v>
      </c>
      <c r="U45" s="221">
        <v>34.500239529588477</v>
      </c>
      <c r="V45" s="221">
        <v>32.703577837393659</v>
      </c>
      <c r="W45" s="221">
        <v>32.670922555690815</v>
      </c>
      <c r="X45" s="221">
        <v>30.283880656295896</v>
      </c>
      <c r="Y45" s="221">
        <v>30.000391554886789</v>
      </c>
      <c r="Z45" s="221">
        <v>28.938314846153386</v>
      </c>
      <c r="AA45" s="221">
        <v>28.978531729765173</v>
      </c>
      <c r="AB45" s="221">
        <v>28.790268337954597</v>
      </c>
      <c r="AC45" s="221">
        <v>27.695413295905386</v>
      </c>
      <c r="AD45" s="221">
        <v>27.102769806893836</v>
      </c>
      <c r="AE45" s="221">
        <v>27.764548806121407</v>
      </c>
      <c r="AF45" s="221">
        <v>26.083987587735209</v>
      </c>
      <c r="AG45" s="221">
        <v>24.926974346922687</v>
      </c>
    </row>
    <row r="46" spans="1:33" x14ac:dyDescent="0.25">
      <c r="A46" s="218" t="s">
        <v>5</v>
      </c>
      <c r="B46" s="218" t="s">
        <v>314</v>
      </c>
      <c r="C46" s="218" t="s">
        <v>337</v>
      </c>
      <c r="D46" s="218" t="s">
        <v>7</v>
      </c>
      <c r="E46" s="218" t="s">
        <v>184</v>
      </c>
      <c r="F46" s="220">
        <v>56.566352844238281</v>
      </c>
      <c r="G46" s="220">
        <v>43.198337554931641</v>
      </c>
      <c r="H46" s="221">
        <v>45.70417983490362</v>
      </c>
      <c r="I46" s="221">
        <v>49.260400763379131</v>
      </c>
      <c r="J46" s="221">
        <v>46.251993262158635</v>
      </c>
      <c r="K46" s="221">
        <v>44.009289232524793</v>
      </c>
      <c r="L46" s="221">
        <v>42.272460645091478</v>
      </c>
      <c r="M46" s="221">
        <v>45.314025110087179</v>
      </c>
      <c r="N46" s="221">
        <v>45.455857807021339</v>
      </c>
      <c r="O46" s="221">
        <v>44.665084417153821</v>
      </c>
      <c r="P46" s="221">
        <v>42.535456825795727</v>
      </c>
      <c r="Q46" s="221">
        <v>41.111451720934909</v>
      </c>
      <c r="R46" s="221">
        <v>40.962114410187006</v>
      </c>
      <c r="S46" s="221">
        <v>40.123484999312609</v>
      </c>
      <c r="T46" s="221">
        <v>39.89267361206965</v>
      </c>
      <c r="U46" s="221">
        <v>38.433070107500861</v>
      </c>
      <c r="V46" s="221">
        <v>36.454641357301114</v>
      </c>
      <c r="W46" s="221">
        <v>35.697314516810017</v>
      </c>
      <c r="X46" s="221">
        <v>36.054901201695401</v>
      </c>
      <c r="Y46" s="221">
        <v>36.240488600819731</v>
      </c>
      <c r="Z46" s="221">
        <v>34.966206833051629</v>
      </c>
      <c r="AA46" s="221">
        <v>34.941848796448255</v>
      </c>
      <c r="AB46" s="221">
        <v>35.17709928996527</v>
      </c>
      <c r="AC46" s="221">
        <v>34.383655981352256</v>
      </c>
      <c r="AD46" s="221">
        <v>33.709461576312833</v>
      </c>
      <c r="AE46" s="221">
        <v>34.187968262238108</v>
      </c>
      <c r="AF46" s="221">
        <v>31.820545176022126</v>
      </c>
      <c r="AG46" s="221">
        <v>31.467153333741035</v>
      </c>
    </row>
    <row r="47" spans="1:33" x14ac:dyDescent="0.25">
      <c r="A47" s="218" t="s">
        <v>5</v>
      </c>
      <c r="B47" s="218" t="s">
        <v>314</v>
      </c>
      <c r="C47" s="218" t="s">
        <v>338</v>
      </c>
      <c r="D47" s="218" t="s">
        <v>7</v>
      </c>
      <c r="E47" s="218" t="s">
        <v>191</v>
      </c>
      <c r="F47" s="220">
        <v>56.323200225830078</v>
      </c>
      <c r="G47" s="220">
        <v>42.975135803222663</v>
      </c>
      <c r="H47" s="221">
        <v>46.3816322920365</v>
      </c>
      <c r="I47" s="221">
        <v>49.978158085899707</v>
      </c>
      <c r="J47" s="221">
        <v>47.006140012891002</v>
      </c>
      <c r="K47" s="221">
        <v>44.757974587732761</v>
      </c>
      <c r="L47" s="221">
        <v>43.117129972742028</v>
      </c>
      <c r="M47" s="221">
        <v>46.255881240587229</v>
      </c>
      <c r="N47" s="221">
        <v>46.369883056594958</v>
      </c>
      <c r="O47" s="221">
        <v>45.609498741955996</v>
      </c>
      <c r="P47" s="221">
        <v>43.401755356347756</v>
      </c>
      <c r="Q47" s="221">
        <v>41.981909168898596</v>
      </c>
      <c r="R47" s="221">
        <v>41.815235001749691</v>
      </c>
      <c r="S47" s="221">
        <v>41.062292601795271</v>
      </c>
      <c r="T47" s="221">
        <v>40.859888052708406</v>
      </c>
      <c r="U47" s="221">
        <v>39.444401296747408</v>
      </c>
      <c r="V47" s="221">
        <v>37.440891180651384</v>
      </c>
      <c r="W47" s="221">
        <v>36.754031598236232</v>
      </c>
      <c r="X47" s="221">
        <v>36.981282245192659</v>
      </c>
      <c r="Y47" s="221">
        <v>37.352301692310554</v>
      </c>
      <c r="Z47" s="221">
        <v>36.015628147699331</v>
      </c>
      <c r="AA47" s="221">
        <v>36.183096047329556</v>
      </c>
      <c r="AB47" s="221">
        <v>36.436436207874088</v>
      </c>
      <c r="AC47" s="221">
        <v>35.869330249279692</v>
      </c>
      <c r="AD47" s="221">
        <v>35.182170690741927</v>
      </c>
      <c r="AE47" s="221">
        <v>36.069754817325169</v>
      </c>
      <c r="AF47" s="221">
        <v>33.314599193931556</v>
      </c>
      <c r="AG47" s="221">
        <v>33.338067148747292</v>
      </c>
    </row>
    <row r="48" spans="1:33" x14ac:dyDescent="0.25">
      <c r="A48" s="218" t="s">
        <v>5</v>
      </c>
      <c r="B48" s="218" t="s">
        <v>314</v>
      </c>
      <c r="C48" s="218" t="s">
        <v>339</v>
      </c>
      <c r="D48" s="218" t="s">
        <v>7</v>
      </c>
      <c r="E48" s="218" t="s">
        <v>196</v>
      </c>
      <c r="F48" s="220">
        <v>50.840183258056641</v>
      </c>
      <c r="G48" s="220">
        <v>39.299594879150391</v>
      </c>
      <c r="H48" s="221">
        <v>48.090130697141262</v>
      </c>
      <c r="I48" s="221">
        <v>51.560253691408477</v>
      </c>
      <c r="J48" s="221">
        <v>48.223564730745352</v>
      </c>
      <c r="K48" s="221">
        <v>45.830584166118733</v>
      </c>
      <c r="L48" s="221">
        <v>43.663027116489111</v>
      </c>
      <c r="M48" s="221">
        <v>47.108218084421928</v>
      </c>
      <c r="N48" s="221">
        <v>47.628611139035961</v>
      </c>
      <c r="O48" s="221">
        <v>47.153612672055964</v>
      </c>
      <c r="P48" s="221">
        <v>44.973054825528862</v>
      </c>
      <c r="Q48" s="221">
        <v>43.693805553258095</v>
      </c>
      <c r="R48" s="221">
        <v>43.584619580917078</v>
      </c>
      <c r="S48" s="221">
        <v>43.163130090199694</v>
      </c>
      <c r="T48" s="221">
        <v>43.185764873068116</v>
      </c>
      <c r="U48" s="221">
        <v>41.878584687587484</v>
      </c>
      <c r="V48" s="221">
        <v>40.143443592243202</v>
      </c>
      <c r="W48" s="221">
        <v>40.466484106196972</v>
      </c>
      <c r="X48" s="221">
        <v>37.984561233768346</v>
      </c>
      <c r="Y48" s="221">
        <v>38.301242904133865</v>
      </c>
      <c r="Z48" s="221">
        <v>36.98919267520764</v>
      </c>
      <c r="AA48" s="221">
        <v>37.321335465238718</v>
      </c>
      <c r="AB48" s="221">
        <v>37.225140381462289</v>
      </c>
      <c r="AC48" s="221">
        <v>36.663944147069763</v>
      </c>
      <c r="AD48" s="221">
        <v>35.975547907683989</v>
      </c>
      <c r="AE48" s="221">
        <v>36.81994655911469</v>
      </c>
      <c r="AF48" s="221">
        <v>34.027490101867336</v>
      </c>
      <c r="AG48" s="221">
        <v>33.969822550926828</v>
      </c>
    </row>
    <row r="49" spans="1:33" x14ac:dyDescent="0.25">
      <c r="A49" s="218" t="s">
        <v>5</v>
      </c>
      <c r="B49" s="218" t="s">
        <v>314</v>
      </c>
      <c r="C49" s="218" t="s">
        <v>340</v>
      </c>
      <c r="D49" s="218" t="s">
        <v>7</v>
      </c>
      <c r="E49" s="218" t="s">
        <v>201</v>
      </c>
      <c r="F49" s="220">
        <v>49.816917419433587</v>
      </c>
      <c r="G49" s="220">
        <v>38.73419189453125</v>
      </c>
      <c r="H49" s="221">
        <v>46.78436758094837</v>
      </c>
      <c r="I49" s="221">
        <v>50.297167005585614</v>
      </c>
      <c r="J49" s="221">
        <v>46.955535496899913</v>
      </c>
      <c r="K49" s="221">
        <v>44.585355628876876</v>
      </c>
      <c r="L49" s="221">
        <v>42.317377822135128</v>
      </c>
      <c r="M49" s="221">
        <v>45.674044635196971</v>
      </c>
      <c r="N49" s="221">
        <v>46.089670706034092</v>
      </c>
      <c r="O49" s="221">
        <v>45.688034669215348</v>
      </c>
      <c r="P49" s="221">
        <v>43.566421670936414</v>
      </c>
      <c r="Q49" s="221">
        <v>42.243010628041056</v>
      </c>
      <c r="R49" s="221">
        <v>42.180610436614579</v>
      </c>
      <c r="S49" s="221">
        <v>41.695532568924193</v>
      </c>
      <c r="T49" s="221">
        <v>41.659855649080299</v>
      </c>
      <c r="U49" s="221">
        <v>40.380358552339722</v>
      </c>
      <c r="V49" s="221">
        <v>38.668167886433089</v>
      </c>
      <c r="W49" s="221">
        <v>38.901415963164737</v>
      </c>
      <c r="X49" s="221">
        <v>36.4528195505372</v>
      </c>
      <c r="Y49" s="221">
        <v>36.614999482011079</v>
      </c>
      <c r="Z49" s="221">
        <v>35.232194480904269</v>
      </c>
      <c r="AA49" s="221">
        <v>35.555801930007206</v>
      </c>
      <c r="AB49" s="221">
        <v>35.264376612854072</v>
      </c>
      <c r="AC49" s="221">
        <v>34.575216596523532</v>
      </c>
      <c r="AD49" s="221">
        <v>33.854938614631585</v>
      </c>
      <c r="AE49" s="221">
        <v>34.513210523890642</v>
      </c>
      <c r="AF49" s="221">
        <v>31.876145748496338</v>
      </c>
      <c r="AG49" s="221">
        <v>31.905464730975606</v>
      </c>
    </row>
    <row r="50" spans="1:33" x14ac:dyDescent="0.25">
      <c r="A50" s="218" t="s">
        <v>5</v>
      </c>
      <c r="B50" s="218" t="s">
        <v>314</v>
      </c>
      <c r="C50" s="218" t="s">
        <v>341</v>
      </c>
      <c r="D50" s="218" t="s">
        <v>7</v>
      </c>
      <c r="E50" s="218" t="s">
        <v>205</v>
      </c>
      <c r="F50" s="220">
        <v>49.816917419433587</v>
      </c>
      <c r="G50" s="220">
        <v>38.73419189453125</v>
      </c>
      <c r="H50" s="221">
        <v>47.254051862396039</v>
      </c>
      <c r="I50" s="221">
        <v>51.407204797815375</v>
      </c>
      <c r="J50" s="221">
        <v>48.090499660923136</v>
      </c>
      <c r="K50" s="221">
        <v>45.719607372360819</v>
      </c>
      <c r="L50" s="221">
        <v>43.435516953833705</v>
      </c>
      <c r="M50" s="221">
        <v>46.680115810955002</v>
      </c>
      <c r="N50" s="221">
        <v>46.982579803910227</v>
      </c>
      <c r="O50" s="221">
        <v>46.463319660749725</v>
      </c>
      <c r="P50" s="221">
        <v>44.138418639962097</v>
      </c>
      <c r="Q50" s="221">
        <v>42.693011005804728</v>
      </c>
      <c r="R50" s="221">
        <v>42.436417234801972</v>
      </c>
      <c r="S50" s="221">
        <v>41.748067530219451</v>
      </c>
      <c r="T50" s="221">
        <v>41.498995087160168</v>
      </c>
      <c r="U50" s="221">
        <v>40.113814859882893</v>
      </c>
      <c r="V50" s="221">
        <v>37.903953953770774</v>
      </c>
      <c r="W50" s="221">
        <v>37.702571896487015</v>
      </c>
      <c r="X50" s="221">
        <v>36.82236157794005</v>
      </c>
      <c r="Y50" s="221">
        <v>36.995506592921615</v>
      </c>
      <c r="Z50" s="221">
        <v>35.583617570129029</v>
      </c>
      <c r="AA50" s="221">
        <v>35.918284925833568</v>
      </c>
      <c r="AB50" s="221">
        <v>35.822822269937511</v>
      </c>
      <c r="AC50" s="221">
        <v>35.147553221991146</v>
      </c>
      <c r="AD50" s="221">
        <v>34.417139665501267</v>
      </c>
      <c r="AE50" s="221">
        <v>35.152241897187338</v>
      </c>
      <c r="AF50" s="221">
        <v>32.465503667101743</v>
      </c>
      <c r="AG50" s="221">
        <v>32.482619702784277</v>
      </c>
    </row>
    <row r="51" spans="1:33" x14ac:dyDescent="0.25">
      <c r="A51" s="218" t="s">
        <v>5</v>
      </c>
      <c r="B51" s="218" t="s">
        <v>314</v>
      </c>
      <c r="C51" s="218" t="s">
        <v>342</v>
      </c>
      <c r="D51" s="218" t="s">
        <v>7</v>
      </c>
      <c r="E51" s="218" t="s">
        <v>209</v>
      </c>
      <c r="F51" s="220">
        <v>59.743293762207031</v>
      </c>
      <c r="G51" s="220">
        <v>44.402114868164063</v>
      </c>
      <c r="H51" s="221">
        <v>51.855595450429853</v>
      </c>
      <c r="I51" s="221">
        <v>53.42709802157777</v>
      </c>
      <c r="J51" s="221">
        <v>49.362195135686974</v>
      </c>
      <c r="K51" s="221">
        <v>46.531277892606276</v>
      </c>
      <c r="L51" s="221">
        <v>44.300762273932733</v>
      </c>
      <c r="M51" s="221">
        <v>47.624997221440843</v>
      </c>
      <c r="N51" s="221">
        <v>47.992708979558131</v>
      </c>
      <c r="O51" s="221">
        <v>47.549101811445738</v>
      </c>
      <c r="P51" s="221">
        <v>45.276972149694537</v>
      </c>
      <c r="Q51" s="221">
        <v>43.986757713333851</v>
      </c>
      <c r="R51" s="221">
        <v>43.927235908352891</v>
      </c>
      <c r="S51" s="221">
        <v>43.421698615704258</v>
      </c>
      <c r="T51" s="221">
        <v>43.593535268659998</v>
      </c>
      <c r="U51" s="221">
        <v>42.455807729306393</v>
      </c>
      <c r="V51" s="221">
        <v>40.715076368569804</v>
      </c>
      <c r="W51" s="221">
        <v>41.069669087629819</v>
      </c>
      <c r="X51" s="221">
        <v>38.783138333753477</v>
      </c>
      <c r="Y51" s="221">
        <v>39.138045516431639</v>
      </c>
      <c r="Z51" s="221">
        <v>38.014835099413517</v>
      </c>
      <c r="AA51" s="221">
        <v>38.329046790799374</v>
      </c>
      <c r="AB51" s="221">
        <v>38.546828543307413</v>
      </c>
      <c r="AC51" s="221">
        <v>38.185553106376901</v>
      </c>
      <c r="AD51" s="221">
        <v>38.188189870845783</v>
      </c>
      <c r="AE51" s="221">
        <v>39.222388114184234</v>
      </c>
      <c r="AF51" s="221">
        <v>36.5842997955681</v>
      </c>
      <c r="AG51" s="221">
        <v>36.895046191407538</v>
      </c>
    </row>
    <row r="52" spans="1:33" x14ac:dyDescent="0.25">
      <c r="A52" s="218" t="s">
        <v>5</v>
      </c>
      <c r="B52" s="218" t="s">
        <v>314</v>
      </c>
      <c r="C52" s="218" t="s">
        <v>343</v>
      </c>
      <c r="D52" s="218" t="s">
        <v>7</v>
      </c>
      <c r="E52" s="218" t="s">
        <v>213</v>
      </c>
      <c r="F52" s="220">
        <v>67.096504211425781</v>
      </c>
      <c r="G52" s="220">
        <v>47.701492309570313</v>
      </c>
      <c r="H52" s="221">
        <v>55.131480769519136</v>
      </c>
      <c r="I52" s="221">
        <v>55.873827643023873</v>
      </c>
      <c r="J52" s="221">
        <v>51.788532692356888</v>
      </c>
      <c r="K52" s="221">
        <v>48.902103944563329</v>
      </c>
      <c r="L52" s="221">
        <v>46.630490582915122</v>
      </c>
      <c r="M52" s="221">
        <v>49.955033386638732</v>
      </c>
      <c r="N52" s="221">
        <v>50.411459761678699</v>
      </c>
      <c r="O52" s="221">
        <v>49.966217720689173</v>
      </c>
      <c r="P52" s="221">
        <v>47.640786699884757</v>
      </c>
      <c r="Q52" s="221">
        <v>46.260783672537954</v>
      </c>
      <c r="R52" s="221">
        <v>46.197094317096628</v>
      </c>
      <c r="S52" s="221">
        <v>45.661882253516808</v>
      </c>
      <c r="T52" s="221">
        <v>45.830890231029883</v>
      </c>
      <c r="U52" s="221">
        <v>44.611666472765123</v>
      </c>
      <c r="V52" s="221">
        <v>42.834508096694087</v>
      </c>
      <c r="W52" s="221">
        <v>43.219623944705774</v>
      </c>
      <c r="X52" s="221">
        <v>41.334539242655055</v>
      </c>
      <c r="Y52" s="221">
        <v>41.626045433030207</v>
      </c>
      <c r="Z52" s="221">
        <v>40.697369115214073</v>
      </c>
      <c r="AA52" s="221">
        <v>40.948371878228166</v>
      </c>
      <c r="AB52" s="221">
        <v>41.351960538271257</v>
      </c>
      <c r="AC52" s="221">
        <v>41.260054918918755</v>
      </c>
      <c r="AD52" s="221">
        <v>41.274316345368312</v>
      </c>
      <c r="AE52" s="221">
        <v>42.60035076992051</v>
      </c>
      <c r="AF52" s="221">
        <v>40.121521125892528</v>
      </c>
      <c r="AG52" s="221">
        <v>39.313654566708038</v>
      </c>
    </row>
    <row r="53" spans="1:33" x14ac:dyDescent="0.25">
      <c r="A53" s="218" t="s">
        <v>5</v>
      </c>
      <c r="B53" s="218" t="s">
        <v>314</v>
      </c>
      <c r="C53" s="218" t="s">
        <v>344</v>
      </c>
      <c r="D53" s="218" t="s">
        <v>7</v>
      </c>
      <c r="E53" s="218" t="s">
        <v>216</v>
      </c>
      <c r="F53" s="220">
        <v>67.096504211425781</v>
      </c>
      <c r="G53" s="220">
        <v>47.701492309570313</v>
      </c>
      <c r="H53" s="221">
        <v>55.231108117924968</v>
      </c>
      <c r="I53" s="221">
        <v>55.967710519406673</v>
      </c>
      <c r="J53" s="221">
        <v>51.857530428312849</v>
      </c>
      <c r="K53" s="221">
        <v>48.966377563858018</v>
      </c>
      <c r="L53" s="221">
        <v>46.69590903455466</v>
      </c>
      <c r="M53" s="221">
        <v>50.014438851584039</v>
      </c>
      <c r="N53" s="221">
        <v>50.513622931793364</v>
      </c>
      <c r="O53" s="221">
        <v>50.047510184111829</v>
      </c>
      <c r="P53" s="221">
        <v>47.667380723074579</v>
      </c>
      <c r="Q53" s="221">
        <v>46.281559442037477</v>
      </c>
      <c r="R53" s="221">
        <v>46.186533434091139</v>
      </c>
      <c r="S53" s="221">
        <v>45.656621178549955</v>
      </c>
      <c r="T53" s="221">
        <v>45.835348777683926</v>
      </c>
      <c r="U53" s="221">
        <v>44.609811082617171</v>
      </c>
      <c r="V53" s="221">
        <v>42.818388028897019</v>
      </c>
      <c r="W53" s="221">
        <v>43.211636653708155</v>
      </c>
      <c r="X53" s="221">
        <v>41.328169471325324</v>
      </c>
      <c r="Y53" s="221">
        <v>41.637750197589085</v>
      </c>
      <c r="Z53" s="221">
        <v>40.69170903319516</v>
      </c>
      <c r="AA53" s="221">
        <v>40.941651437461864</v>
      </c>
      <c r="AB53" s="221">
        <v>41.379504694289814</v>
      </c>
      <c r="AC53" s="221">
        <v>41.348951880439103</v>
      </c>
      <c r="AD53" s="221">
        <v>41.32230989811967</v>
      </c>
      <c r="AE53" s="221">
        <v>42.680350225109812</v>
      </c>
      <c r="AF53" s="221">
        <v>40.208967837387704</v>
      </c>
      <c r="AG53" s="221">
        <v>39.405926447779471</v>
      </c>
    </row>
    <row r="54" spans="1:33" x14ac:dyDescent="0.25">
      <c r="A54" s="218" t="s">
        <v>5</v>
      </c>
      <c r="B54" s="218" t="s">
        <v>314</v>
      </c>
      <c r="C54" s="218" t="s">
        <v>345</v>
      </c>
      <c r="D54" s="218" t="s">
        <v>7</v>
      </c>
      <c r="E54" s="218" t="s">
        <v>220</v>
      </c>
      <c r="F54" s="220">
        <v>67.102523803710938</v>
      </c>
      <c r="G54" s="220">
        <v>47.914417266845703</v>
      </c>
      <c r="H54" s="221">
        <v>55.386083019406335</v>
      </c>
      <c r="I54" s="221">
        <v>56.119704807979289</v>
      </c>
      <c r="J54" s="221">
        <v>52.013582762951849</v>
      </c>
      <c r="K54" s="221">
        <v>49.110289021333202</v>
      </c>
      <c r="L54" s="221">
        <v>46.836039161522187</v>
      </c>
      <c r="M54" s="221">
        <v>50.159139473628727</v>
      </c>
      <c r="N54" s="221">
        <v>50.614747606169047</v>
      </c>
      <c r="O54" s="221">
        <v>50.15108478905389</v>
      </c>
      <c r="P54" s="221">
        <v>47.765792598233368</v>
      </c>
      <c r="Q54" s="221">
        <v>46.383214876388863</v>
      </c>
      <c r="R54" s="221">
        <v>46.288759192017523</v>
      </c>
      <c r="S54" s="221">
        <v>45.762537057292263</v>
      </c>
      <c r="T54" s="221">
        <v>45.929798137633462</v>
      </c>
      <c r="U54" s="221">
        <v>44.721083368202741</v>
      </c>
      <c r="V54" s="221">
        <v>42.933055191429887</v>
      </c>
      <c r="W54" s="221">
        <v>43.332739807307966</v>
      </c>
      <c r="X54" s="221">
        <v>41.438588345509928</v>
      </c>
      <c r="Y54" s="221">
        <v>41.74907586925228</v>
      </c>
      <c r="Z54" s="221">
        <v>40.820777844812746</v>
      </c>
      <c r="AA54" s="221">
        <v>41.057270323159671</v>
      </c>
      <c r="AB54" s="221">
        <v>41.47778821164809</v>
      </c>
      <c r="AC54" s="221">
        <v>41.436525895570199</v>
      </c>
      <c r="AD54" s="221">
        <v>41.446145809560264</v>
      </c>
      <c r="AE54" s="221">
        <v>42.802535359919098</v>
      </c>
      <c r="AF54" s="221">
        <v>40.299240044354008</v>
      </c>
      <c r="AG54" s="221">
        <v>39.514438990500601</v>
      </c>
    </row>
    <row r="55" spans="1:33" x14ac:dyDescent="0.25">
      <c r="A55" s="218" t="s">
        <v>5</v>
      </c>
      <c r="B55" s="218" t="s">
        <v>314</v>
      </c>
      <c r="C55" s="218" t="s">
        <v>346</v>
      </c>
      <c r="D55" s="218" t="s">
        <v>7</v>
      </c>
      <c r="E55" s="218" t="s">
        <v>224</v>
      </c>
      <c r="F55" s="220">
        <v>67.102523803710938</v>
      </c>
      <c r="G55" s="220">
        <v>47.914417266845703</v>
      </c>
      <c r="H55" s="221">
        <v>55.826582225854466</v>
      </c>
      <c r="I55" s="221">
        <v>56.481283474785819</v>
      </c>
      <c r="J55" s="221">
        <v>52.267406155410093</v>
      </c>
      <c r="K55" s="221">
        <v>49.32593697582687</v>
      </c>
      <c r="L55" s="221">
        <v>47.105925913485123</v>
      </c>
      <c r="M55" s="221">
        <v>50.394599615804935</v>
      </c>
      <c r="N55" s="221">
        <v>50.864927157508042</v>
      </c>
      <c r="O55" s="221">
        <v>50.457511812382364</v>
      </c>
      <c r="P55" s="221">
        <v>47.846546278732227</v>
      </c>
      <c r="Q55" s="221">
        <v>46.431480260568073</v>
      </c>
      <c r="R55" s="221">
        <v>46.292747618040295</v>
      </c>
      <c r="S55" s="221">
        <v>45.817176112740228</v>
      </c>
      <c r="T55" s="221">
        <v>45.987738694675066</v>
      </c>
      <c r="U55" s="221">
        <v>44.693392054995741</v>
      </c>
      <c r="V55" s="221">
        <v>42.871335771686994</v>
      </c>
      <c r="W55" s="221">
        <v>43.369847537466477</v>
      </c>
      <c r="X55" s="221">
        <v>41.425357360548368</v>
      </c>
      <c r="Y55" s="221">
        <v>41.726424386634562</v>
      </c>
      <c r="Z55" s="221">
        <v>40.860112624470432</v>
      </c>
      <c r="AA55" s="221">
        <v>41.066553139325087</v>
      </c>
      <c r="AB55" s="221">
        <v>41.42317514450805</v>
      </c>
      <c r="AC55" s="221">
        <v>41.39943639602398</v>
      </c>
      <c r="AD55" s="221">
        <v>41.43476374893352</v>
      </c>
      <c r="AE55" s="221">
        <v>42.846509387720751</v>
      </c>
      <c r="AF55" s="221">
        <v>40.32915391098738</v>
      </c>
      <c r="AG55" s="221">
        <v>39.407242006891721</v>
      </c>
    </row>
    <row r="56" spans="1:33" x14ac:dyDescent="0.25">
      <c r="A56" s="218" t="s">
        <v>5</v>
      </c>
      <c r="B56" s="218" t="s">
        <v>314</v>
      </c>
      <c r="C56" s="218" t="s">
        <v>347</v>
      </c>
      <c r="D56" s="218" t="s">
        <v>7</v>
      </c>
      <c r="E56" s="218" t="s">
        <v>228</v>
      </c>
      <c r="F56" s="220">
        <v>70.228103637695313</v>
      </c>
      <c r="G56" s="220">
        <v>50.08197021484375</v>
      </c>
      <c r="H56" s="221">
        <v>59.5257121783293</v>
      </c>
      <c r="I56" s="221">
        <v>60.225878586331781</v>
      </c>
      <c r="J56" s="221">
        <v>55.202522723987357</v>
      </c>
      <c r="K56" s="221">
        <v>52.06531188020336</v>
      </c>
      <c r="L56" s="221">
        <v>49.751521601737835</v>
      </c>
      <c r="M56" s="221">
        <v>52.648601811006912</v>
      </c>
      <c r="N56" s="221">
        <v>53.229566424223428</v>
      </c>
      <c r="O56" s="221">
        <v>51.764043133279884</v>
      </c>
      <c r="P56" s="221">
        <v>48.942976152576229</v>
      </c>
      <c r="Q56" s="221">
        <v>47.295552349876445</v>
      </c>
      <c r="R56" s="221">
        <v>47.222683886533119</v>
      </c>
      <c r="S56" s="221">
        <v>46.766625383350302</v>
      </c>
      <c r="T56" s="221">
        <v>47.020163832881067</v>
      </c>
      <c r="U56" s="221">
        <v>45.64059876585182</v>
      </c>
      <c r="V56" s="221">
        <v>43.881189236698319</v>
      </c>
      <c r="W56" s="221">
        <v>44.209370960917084</v>
      </c>
      <c r="X56" s="221">
        <v>42.308641249553176</v>
      </c>
      <c r="Y56" s="221">
        <v>42.637867518523464</v>
      </c>
      <c r="Z56" s="221">
        <v>41.804095876065304</v>
      </c>
      <c r="AA56" s="221">
        <v>42.010642968525886</v>
      </c>
      <c r="AB56" s="221">
        <v>42.532153472241873</v>
      </c>
      <c r="AC56" s="221">
        <v>42.461068485968525</v>
      </c>
      <c r="AD56" s="221">
        <v>42.545971780471014</v>
      </c>
      <c r="AE56" s="221">
        <v>43.893513448853945</v>
      </c>
      <c r="AF56" s="221">
        <v>41.293000160620053</v>
      </c>
      <c r="AG56" s="221">
        <v>39.945495244280735</v>
      </c>
    </row>
    <row r="57" spans="1:33" x14ac:dyDescent="0.25">
      <c r="A57" s="218"/>
      <c r="B57" s="218"/>
      <c r="C57" s="218"/>
      <c r="D57" s="218"/>
      <c r="E57" s="218"/>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row>
    <row r="58" spans="1:33" x14ac:dyDescent="0.25">
      <c r="A58" s="204" t="s">
        <v>309</v>
      </c>
      <c r="B58" s="204" t="s">
        <v>310</v>
      </c>
      <c r="C58" s="204" t="s">
        <v>311</v>
      </c>
      <c r="D58" s="204" t="s">
        <v>312</v>
      </c>
      <c r="E58" s="204" t="s">
        <v>313</v>
      </c>
      <c r="F58" s="219">
        <v>2023</v>
      </c>
      <c r="G58" s="219">
        <v>2024</v>
      </c>
      <c r="H58" s="219">
        <v>2025</v>
      </c>
      <c r="I58" s="219">
        <v>2026</v>
      </c>
      <c r="J58" s="219">
        <v>2027</v>
      </c>
      <c r="K58" s="219">
        <v>2028</v>
      </c>
      <c r="L58" s="219">
        <v>2029</v>
      </c>
      <c r="M58" s="219">
        <v>2030</v>
      </c>
      <c r="N58" s="219">
        <v>2031</v>
      </c>
      <c r="O58" s="219">
        <v>2032</v>
      </c>
      <c r="P58" s="219">
        <v>2033</v>
      </c>
      <c r="Q58" s="219">
        <v>2034</v>
      </c>
      <c r="R58" s="219">
        <v>2035</v>
      </c>
      <c r="S58" s="219">
        <v>2036</v>
      </c>
      <c r="T58" s="219">
        <v>2037</v>
      </c>
      <c r="U58" s="219">
        <v>2038</v>
      </c>
      <c r="V58" s="219">
        <v>2039</v>
      </c>
      <c r="W58" s="219">
        <v>2040</v>
      </c>
      <c r="X58" s="219">
        <v>2041</v>
      </c>
      <c r="Y58" s="219">
        <v>2042</v>
      </c>
      <c r="Z58" s="219">
        <v>2043</v>
      </c>
      <c r="AA58" s="219">
        <v>2044</v>
      </c>
      <c r="AB58" s="219">
        <v>2045</v>
      </c>
      <c r="AC58" s="219">
        <v>2046</v>
      </c>
      <c r="AD58" s="219">
        <v>2047</v>
      </c>
      <c r="AE58" s="219">
        <v>2048</v>
      </c>
      <c r="AF58" s="219">
        <v>2049</v>
      </c>
      <c r="AG58" s="219">
        <v>2050</v>
      </c>
    </row>
    <row r="59" spans="1:33" x14ac:dyDescent="0.25">
      <c r="A59" s="204" t="s">
        <v>348</v>
      </c>
      <c r="B59" s="204" t="s">
        <v>349</v>
      </c>
      <c r="C59" s="204" t="s">
        <v>315</v>
      </c>
      <c r="D59" s="204" t="s">
        <v>190</v>
      </c>
      <c r="E59" s="204" t="s">
        <v>184</v>
      </c>
      <c r="F59" s="221">
        <v>10.541406450933867</v>
      </c>
      <c r="G59" s="221">
        <v>7.0987649674941062</v>
      </c>
      <c r="H59" s="221">
        <v>2.4528561751814628</v>
      </c>
      <c r="I59" s="221">
        <v>2.6821445405409188</v>
      </c>
      <c r="J59" s="221">
        <v>2.7827208125665677</v>
      </c>
      <c r="K59" s="221">
        <v>3.193821162021838</v>
      </c>
      <c r="L59" s="221">
        <v>3.1981530151961932</v>
      </c>
      <c r="M59" s="221">
        <v>3.2566082351971271</v>
      </c>
      <c r="N59" s="221">
        <v>3.287964796497838</v>
      </c>
      <c r="O59" s="221">
        <v>3.4115197284275873</v>
      </c>
      <c r="P59" s="221">
        <v>3.6816781864307315</v>
      </c>
      <c r="Q59" s="221">
        <v>4.2064134926071306</v>
      </c>
      <c r="R59" s="221">
        <v>5.5069583329843477</v>
      </c>
      <c r="S59" s="221">
        <v>5.9831861805760793</v>
      </c>
      <c r="T59" s="221">
        <v>5.8762837552432492</v>
      </c>
      <c r="U59" s="221">
        <v>6.1720866009289175</v>
      </c>
      <c r="V59" s="221">
        <v>6.471827181103591</v>
      </c>
      <c r="W59" s="221">
        <v>6.7138908781910231</v>
      </c>
      <c r="X59" s="221">
        <v>6.9573263522296322</v>
      </c>
      <c r="Y59" s="221">
        <v>7.0128453638053792</v>
      </c>
      <c r="Z59" s="221">
        <v>7.5865631776952691</v>
      </c>
      <c r="AA59" s="221">
        <v>8.2550930829357902</v>
      </c>
      <c r="AB59" s="221">
        <v>8.455956561374915</v>
      </c>
      <c r="AC59" s="221">
        <v>8.6238899867255387</v>
      </c>
      <c r="AD59" s="221">
        <v>8.8377431384145488</v>
      </c>
      <c r="AE59" s="221">
        <v>9.0702044613664565</v>
      </c>
      <c r="AF59" s="221">
        <v>9.3045516370280836</v>
      </c>
      <c r="AG59" s="221">
        <v>9.548910347943723</v>
      </c>
    </row>
    <row r="60" spans="1:33" x14ac:dyDescent="0.25">
      <c r="A60" s="204" t="s">
        <v>348</v>
      </c>
      <c r="B60" s="204" t="s">
        <v>349</v>
      </c>
      <c r="C60" s="204" t="s">
        <v>316</v>
      </c>
      <c r="D60" s="204" t="s">
        <v>190</v>
      </c>
      <c r="E60" s="204" t="s">
        <v>191</v>
      </c>
      <c r="F60" s="221">
        <v>10.541406450933867</v>
      </c>
      <c r="G60" s="221">
        <v>7.0987649674941062</v>
      </c>
      <c r="H60" s="221">
        <v>2.4528561751814628</v>
      </c>
      <c r="I60" s="221">
        <v>2.6821445405409188</v>
      </c>
      <c r="J60" s="221">
        <v>2.7827208125665677</v>
      </c>
      <c r="K60" s="221">
        <v>3.193821162021838</v>
      </c>
      <c r="L60" s="221">
        <v>3.1981530151961932</v>
      </c>
      <c r="M60" s="221">
        <v>3.2566082351971271</v>
      </c>
      <c r="N60" s="221">
        <v>3.287964796497838</v>
      </c>
      <c r="O60" s="221">
        <v>3.4115197284275873</v>
      </c>
      <c r="P60" s="221">
        <v>3.6816781864307315</v>
      </c>
      <c r="Q60" s="221">
        <v>4.2064134926071306</v>
      </c>
      <c r="R60" s="221">
        <v>5.5069583329843477</v>
      </c>
      <c r="S60" s="221">
        <v>5.9831861805760793</v>
      </c>
      <c r="T60" s="221">
        <v>5.8762837552432492</v>
      </c>
      <c r="U60" s="221">
        <v>6.1720866009289175</v>
      </c>
      <c r="V60" s="221">
        <v>6.471827181103591</v>
      </c>
      <c r="W60" s="221">
        <v>6.7138908781910231</v>
      </c>
      <c r="X60" s="221">
        <v>6.9573263522296322</v>
      </c>
      <c r="Y60" s="221">
        <v>7.0128453638053792</v>
      </c>
      <c r="Z60" s="221">
        <v>7.5865631776952691</v>
      </c>
      <c r="AA60" s="221">
        <v>8.2550930829357902</v>
      </c>
      <c r="AB60" s="221">
        <v>8.455956561374915</v>
      </c>
      <c r="AC60" s="221">
        <v>8.6238899867255387</v>
      </c>
      <c r="AD60" s="221">
        <v>8.8377431384145488</v>
      </c>
      <c r="AE60" s="221">
        <v>9.0702044613664565</v>
      </c>
      <c r="AF60" s="221">
        <v>9.3045516370280836</v>
      </c>
      <c r="AG60" s="221">
        <v>9.548910347943723</v>
      </c>
    </row>
    <row r="61" spans="1:33" x14ac:dyDescent="0.25">
      <c r="A61" s="204" t="s">
        <v>348</v>
      </c>
      <c r="B61" s="204" t="s">
        <v>349</v>
      </c>
      <c r="C61" s="204" t="s">
        <v>317</v>
      </c>
      <c r="D61" s="204" t="s">
        <v>190</v>
      </c>
      <c r="E61" s="204" t="s">
        <v>196</v>
      </c>
      <c r="F61" s="221">
        <v>10.541406450933867</v>
      </c>
      <c r="G61" s="221">
        <v>7.0987649674941062</v>
      </c>
      <c r="H61" s="221">
        <v>2.4528561751814628</v>
      </c>
      <c r="I61" s="221">
        <v>2.6821445405409188</v>
      </c>
      <c r="J61" s="221">
        <v>2.7827208125665677</v>
      </c>
      <c r="K61" s="221">
        <v>3.193821162021838</v>
      </c>
      <c r="L61" s="221">
        <v>3.1981530151961932</v>
      </c>
      <c r="M61" s="221">
        <v>3.2566082351971271</v>
      </c>
      <c r="N61" s="221">
        <v>3.287964796497838</v>
      </c>
      <c r="O61" s="221">
        <v>3.4115197284275873</v>
      </c>
      <c r="P61" s="221">
        <v>3.6816781864307315</v>
      </c>
      <c r="Q61" s="221">
        <v>4.2064134926071306</v>
      </c>
      <c r="R61" s="221">
        <v>5.5069583329843477</v>
      </c>
      <c r="S61" s="221">
        <v>5.9831861805760793</v>
      </c>
      <c r="T61" s="221">
        <v>5.8762837552432492</v>
      </c>
      <c r="U61" s="221">
        <v>6.1720866009289175</v>
      </c>
      <c r="V61" s="221">
        <v>6.471827181103591</v>
      </c>
      <c r="W61" s="221">
        <v>6.7138908781910231</v>
      </c>
      <c r="X61" s="221">
        <v>6.9573263522296322</v>
      </c>
      <c r="Y61" s="221">
        <v>7.0128453638053792</v>
      </c>
      <c r="Z61" s="221">
        <v>7.5865631776952691</v>
      </c>
      <c r="AA61" s="221">
        <v>8.2550930829357902</v>
      </c>
      <c r="AB61" s="221">
        <v>8.455956561374915</v>
      </c>
      <c r="AC61" s="221">
        <v>8.6238899867255387</v>
      </c>
      <c r="AD61" s="221">
        <v>8.8377431384145488</v>
      </c>
      <c r="AE61" s="221">
        <v>9.0702044613664565</v>
      </c>
      <c r="AF61" s="221">
        <v>9.3045516370280836</v>
      </c>
      <c r="AG61" s="221">
        <v>9.548910347943723</v>
      </c>
    </row>
    <row r="62" spans="1:33" x14ac:dyDescent="0.25">
      <c r="A62" s="204" t="s">
        <v>348</v>
      </c>
      <c r="B62" s="204" t="s">
        <v>349</v>
      </c>
      <c r="C62" s="204" t="s">
        <v>318</v>
      </c>
      <c r="D62" s="204" t="s">
        <v>190</v>
      </c>
      <c r="E62" s="204" t="s">
        <v>201</v>
      </c>
      <c r="F62" s="221">
        <v>10.541406450933867</v>
      </c>
      <c r="G62" s="221">
        <v>7.0987649674941062</v>
      </c>
      <c r="H62" s="221">
        <v>2.4528561751814628</v>
      </c>
      <c r="I62" s="221">
        <v>2.6821445405409188</v>
      </c>
      <c r="J62" s="221">
        <v>2.7827208125665677</v>
      </c>
      <c r="K62" s="221">
        <v>3.193821162021838</v>
      </c>
      <c r="L62" s="221">
        <v>3.1981530151961932</v>
      </c>
      <c r="M62" s="221">
        <v>3.2566082351971271</v>
      </c>
      <c r="N62" s="221">
        <v>3.287964796497838</v>
      </c>
      <c r="O62" s="221">
        <v>3.4115197284275873</v>
      </c>
      <c r="P62" s="221">
        <v>3.6816781864307315</v>
      </c>
      <c r="Q62" s="221">
        <v>4.2064134926071306</v>
      </c>
      <c r="R62" s="221">
        <v>5.5069583329843477</v>
      </c>
      <c r="S62" s="221">
        <v>5.9831861805760793</v>
      </c>
      <c r="T62" s="221">
        <v>5.8762837552432492</v>
      </c>
      <c r="U62" s="221">
        <v>6.1720866009289175</v>
      </c>
      <c r="V62" s="221">
        <v>6.471827181103591</v>
      </c>
      <c r="W62" s="221">
        <v>6.7138908781910231</v>
      </c>
      <c r="X62" s="221">
        <v>6.9573263522296322</v>
      </c>
      <c r="Y62" s="221">
        <v>7.0128453638053792</v>
      </c>
      <c r="Z62" s="221">
        <v>7.5865631776952691</v>
      </c>
      <c r="AA62" s="221">
        <v>8.2550930829357902</v>
      </c>
      <c r="AB62" s="221">
        <v>8.455956561374915</v>
      </c>
      <c r="AC62" s="221">
        <v>8.6238899867255387</v>
      </c>
      <c r="AD62" s="221">
        <v>8.8377431384145488</v>
      </c>
      <c r="AE62" s="221">
        <v>9.0702044613664565</v>
      </c>
      <c r="AF62" s="221">
        <v>9.3045516370280836</v>
      </c>
      <c r="AG62" s="221">
        <v>9.548910347943723</v>
      </c>
    </row>
    <row r="63" spans="1:33" x14ac:dyDescent="0.25">
      <c r="A63" s="204" t="s">
        <v>348</v>
      </c>
      <c r="B63" s="204" t="s">
        <v>349</v>
      </c>
      <c r="C63" s="204" t="s">
        <v>319</v>
      </c>
      <c r="D63" s="204" t="s">
        <v>190</v>
      </c>
      <c r="E63" s="204" t="s">
        <v>205</v>
      </c>
      <c r="F63" s="221">
        <v>10.541406450933867</v>
      </c>
      <c r="G63" s="221">
        <v>7.0987649674941062</v>
      </c>
      <c r="H63" s="221">
        <v>2.4528561751814628</v>
      </c>
      <c r="I63" s="221">
        <v>2.6821445405409188</v>
      </c>
      <c r="J63" s="221">
        <v>2.7827208125665677</v>
      </c>
      <c r="K63" s="221">
        <v>3.193821162021838</v>
      </c>
      <c r="L63" s="221">
        <v>3.1981530151961932</v>
      </c>
      <c r="M63" s="221">
        <v>3.2566082351971271</v>
      </c>
      <c r="N63" s="221">
        <v>3.287964796497838</v>
      </c>
      <c r="O63" s="221">
        <v>3.4115197284275873</v>
      </c>
      <c r="P63" s="221">
        <v>3.6816781864307315</v>
      </c>
      <c r="Q63" s="221">
        <v>4.2064134926071306</v>
      </c>
      <c r="R63" s="221">
        <v>5.5069583329843477</v>
      </c>
      <c r="S63" s="221">
        <v>5.9831861805760793</v>
      </c>
      <c r="T63" s="221">
        <v>5.8762837552432492</v>
      </c>
      <c r="U63" s="221">
        <v>6.1720866009289175</v>
      </c>
      <c r="V63" s="221">
        <v>6.471827181103591</v>
      </c>
      <c r="W63" s="221">
        <v>6.7138908781910231</v>
      </c>
      <c r="X63" s="221">
        <v>6.9573263522296322</v>
      </c>
      <c r="Y63" s="221">
        <v>7.0128453638053792</v>
      </c>
      <c r="Z63" s="221">
        <v>7.5865631776952691</v>
      </c>
      <c r="AA63" s="221">
        <v>8.2550930829357902</v>
      </c>
      <c r="AB63" s="221">
        <v>8.455956561374915</v>
      </c>
      <c r="AC63" s="221">
        <v>8.6238899867255387</v>
      </c>
      <c r="AD63" s="221">
        <v>8.8377431384145488</v>
      </c>
      <c r="AE63" s="221">
        <v>9.0702044613664565</v>
      </c>
      <c r="AF63" s="221">
        <v>9.3045516370280836</v>
      </c>
      <c r="AG63" s="221">
        <v>9.548910347943723</v>
      </c>
    </row>
    <row r="64" spans="1:33" x14ac:dyDescent="0.25">
      <c r="A64" s="204" t="s">
        <v>348</v>
      </c>
      <c r="B64" s="204" t="s">
        <v>349</v>
      </c>
      <c r="C64" s="204" t="s">
        <v>320</v>
      </c>
      <c r="D64" s="204" t="s">
        <v>190</v>
      </c>
      <c r="E64" s="204" t="s">
        <v>209</v>
      </c>
      <c r="F64" s="221">
        <v>10.541406450933867</v>
      </c>
      <c r="G64" s="221">
        <v>7.0987649674941062</v>
      </c>
      <c r="H64" s="221">
        <v>2.4528561751814628</v>
      </c>
      <c r="I64" s="221">
        <v>2.6821445405409188</v>
      </c>
      <c r="J64" s="221">
        <v>2.7827208125665677</v>
      </c>
      <c r="K64" s="221">
        <v>3.193821162021838</v>
      </c>
      <c r="L64" s="221">
        <v>3.1981530151961932</v>
      </c>
      <c r="M64" s="221">
        <v>3.2566082351971271</v>
      </c>
      <c r="N64" s="221">
        <v>3.287964796497838</v>
      </c>
      <c r="O64" s="221">
        <v>3.4115197284275873</v>
      </c>
      <c r="P64" s="221">
        <v>3.6816781864307315</v>
      </c>
      <c r="Q64" s="221">
        <v>4.2064134926071306</v>
      </c>
      <c r="R64" s="221">
        <v>5.5069583329843477</v>
      </c>
      <c r="S64" s="221">
        <v>5.9831861805760793</v>
      </c>
      <c r="T64" s="221">
        <v>5.8762837552432492</v>
      </c>
      <c r="U64" s="221">
        <v>6.1720866009289175</v>
      </c>
      <c r="V64" s="221">
        <v>6.471827181103591</v>
      </c>
      <c r="W64" s="221">
        <v>6.7138908781910231</v>
      </c>
      <c r="X64" s="221">
        <v>6.9573263522296322</v>
      </c>
      <c r="Y64" s="221">
        <v>7.0128453638053792</v>
      </c>
      <c r="Z64" s="221">
        <v>7.5865631776952691</v>
      </c>
      <c r="AA64" s="221">
        <v>8.2550930829357902</v>
      </c>
      <c r="AB64" s="221">
        <v>8.455956561374915</v>
      </c>
      <c r="AC64" s="221">
        <v>8.6238899867255387</v>
      </c>
      <c r="AD64" s="221">
        <v>8.8377431384145488</v>
      </c>
      <c r="AE64" s="221">
        <v>9.0702044613664565</v>
      </c>
      <c r="AF64" s="221">
        <v>9.3045516370280836</v>
      </c>
      <c r="AG64" s="221">
        <v>9.548910347943723</v>
      </c>
    </row>
    <row r="65" spans="1:33" x14ac:dyDescent="0.25">
      <c r="A65" s="204" t="s">
        <v>348</v>
      </c>
      <c r="B65" s="204" t="s">
        <v>349</v>
      </c>
      <c r="C65" s="204" t="s">
        <v>321</v>
      </c>
      <c r="D65" s="204" t="s">
        <v>190</v>
      </c>
      <c r="E65" s="204" t="s">
        <v>213</v>
      </c>
      <c r="F65" s="221">
        <v>13.095919057141765</v>
      </c>
      <c r="G65" s="221">
        <v>11.644465341415771</v>
      </c>
      <c r="H65" s="221">
        <v>5.245542288701337</v>
      </c>
      <c r="I65" s="221">
        <v>4.4864649148795541</v>
      </c>
      <c r="J65" s="221">
        <v>4.0358089467034111</v>
      </c>
      <c r="K65" s="221">
        <v>4.0251698822535289</v>
      </c>
      <c r="L65" s="221">
        <v>3.5494570354697017</v>
      </c>
      <c r="M65" s="221">
        <v>3.2731132297986645</v>
      </c>
      <c r="N65" s="221">
        <v>3.4729333551680295</v>
      </c>
      <c r="O65" s="221">
        <v>3.7926388089615042</v>
      </c>
      <c r="P65" s="221">
        <v>4.2600341952159582</v>
      </c>
      <c r="Q65" s="221">
        <v>5.0479119295091639</v>
      </c>
      <c r="R65" s="221">
        <v>6.7976032000387496</v>
      </c>
      <c r="S65" s="221">
        <v>7.7117550019787346</v>
      </c>
      <c r="T65" s="221">
        <v>8.0346918979225901</v>
      </c>
      <c r="U65" s="221">
        <v>8.9497367262255505</v>
      </c>
      <c r="V65" s="221">
        <v>9.0506433845000807</v>
      </c>
      <c r="W65" s="221">
        <v>8.3416503248458689</v>
      </c>
      <c r="X65" s="221">
        <v>8.5661328826649168</v>
      </c>
      <c r="Y65" s="221">
        <v>8.3880640716389028</v>
      </c>
      <c r="Z65" s="221">
        <v>9.0135564887459356</v>
      </c>
      <c r="AA65" s="221">
        <v>9.7486599148326185</v>
      </c>
      <c r="AB65" s="221">
        <v>9.7197784016162743</v>
      </c>
      <c r="AC65" s="221">
        <v>9.6614477346882914</v>
      </c>
      <c r="AD65" s="221">
        <v>9.6559912856439336</v>
      </c>
      <c r="AE65" s="221">
        <v>9.659618448531516</v>
      </c>
      <c r="AF65" s="221">
        <v>9.6803069496768597</v>
      </c>
      <c r="AG65" s="221">
        <v>9.7181600194094191</v>
      </c>
    </row>
    <row r="66" spans="1:33" x14ac:dyDescent="0.25">
      <c r="A66" s="204" t="s">
        <v>348</v>
      </c>
      <c r="B66" s="204" t="s">
        <v>349</v>
      </c>
      <c r="C66" s="204" t="s">
        <v>322</v>
      </c>
      <c r="D66" s="204" t="s">
        <v>190</v>
      </c>
      <c r="E66" s="204" t="s">
        <v>216</v>
      </c>
      <c r="F66" s="221">
        <v>13.095919057141765</v>
      </c>
      <c r="G66" s="221">
        <v>11.644465341415771</v>
      </c>
      <c r="H66" s="221">
        <v>5.245542288701337</v>
      </c>
      <c r="I66" s="221">
        <v>4.4864649148795541</v>
      </c>
      <c r="J66" s="221">
        <v>4.0358089467034111</v>
      </c>
      <c r="K66" s="221">
        <v>4.0251698822535289</v>
      </c>
      <c r="L66" s="221">
        <v>3.5494570354697017</v>
      </c>
      <c r="M66" s="221">
        <v>3.2731132297986645</v>
      </c>
      <c r="N66" s="221">
        <v>3.4729333551680295</v>
      </c>
      <c r="O66" s="221">
        <v>3.7926388089615042</v>
      </c>
      <c r="P66" s="221">
        <v>4.2600341952159582</v>
      </c>
      <c r="Q66" s="221">
        <v>5.0479119295091639</v>
      </c>
      <c r="R66" s="221">
        <v>6.7976032000387496</v>
      </c>
      <c r="S66" s="221">
        <v>7.7117550019787346</v>
      </c>
      <c r="T66" s="221">
        <v>8.0346918979225901</v>
      </c>
      <c r="U66" s="221">
        <v>8.9497367262255505</v>
      </c>
      <c r="V66" s="221">
        <v>9.0506433845000807</v>
      </c>
      <c r="W66" s="221">
        <v>8.3416503248458689</v>
      </c>
      <c r="X66" s="221">
        <v>8.5661328826649168</v>
      </c>
      <c r="Y66" s="221">
        <v>8.3880640716389028</v>
      </c>
      <c r="Z66" s="221">
        <v>9.0135564887459356</v>
      </c>
      <c r="AA66" s="221">
        <v>9.7486599148326185</v>
      </c>
      <c r="AB66" s="221">
        <v>9.7197784016162743</v>
      </c>
      <c r="AC66" s="221">
        <v>9.6614477346882914</v>
      </c>
      <c r="AD66" s="221">
        <v>9.6559912856439336</v>
      </c>
      <c r="AE66" s="221">
        <v>9.659618448531516</v>
      </c>
      <c r="AF66" s="221">
        <v>9.6803069496768597</v>
      </c>
      <c r="AG66" s="221">
        <v>9.7181600194094191</v>
      </c>
    </row>
    <row r="67" spans="1:33" x14ac:dyDescent="0.25">
      <c r="A67" s="204" t="s">
        <v>348</v>
      </c>
      <c r="B67" s="204" t="s">
        <v>349</v>
      </c>
      <c r="C67" s="204" t="s">
        <v>323</v>
      </c>
      <c r="D67" s="204" t="s">
        <v>190</v>
      </c>
      <c r="E67" s="204" t="s">
        <v>220</v>
      </c>
      <c r="F67" s="221">
        <v>13.095919057141765</v>
      </c>
      <c r="G67" s="221">
        <v>11.644465341415771</v>
      </c>
      <c r="H67" s="221">
        <v>5.245542288701337</v>
      </c>
      <c r="I67" s="221">
        <v>4.4864649148795541</v>
      </c>
      <c r="J67" s="221">
        <v>4.0358089467034111</v>
      </c>
      <c r="K67" s="221">
        <v>4.0251698822535289</v>
      </c>
      <c r="L67" s="221">
        <v>3.5494570354697017</v>
      </c>
      <c r="M67" s="221">
        <v>3.2731132297986645</v>
      </c>
      <c r="N67" s="221">
        <v>3.4729333551680295</v>
      </c>
      <c r="O67" s="221">
        <v>3.7926388089615042</v>
      </c>
      <c r="P67" s="221">
        <v>4.2600341952159582</v>
      </c>
      <c r="Q67" s="221">
        <v>5.0479119295091639</v>
      </c>
      <c r="R67" s="221">
        <v>6.7976032000387496</v>
      </c>
      <c r="S67" s="221">
        <v>7.7117550019787346</v>
      </c>
      <c r="T67" s="221">
        <v>8.0346918979225901</v>
      </c>
      <c r="U67" s="221">
        <v>8.9497367262255505</v>
      </c>
      <c r="V67" s="221">
        <v>9.0506433845000807</v>
      </c>
      <c r="W67" s="221">
        <v>8.3416503248458689</v>
      </c>
      <c r="X67" s="221">
        <v>8.5661328826649168</v>
      </c>
      <c r="Y67" s="221">
        <v>8.3880640716389028</v>
      </c>
      <c r="Z67" s="221">
        <v>9.0135564887459356</v>
      </c>
      <c r="AA67" s="221">
        <v>9.7486599148326185</v>
      </c>
      <c r="AB67" s="221">
        <v>9.7197784016162743</v>
      </c>
      <c r="AC67" s="221">
        <v>9.6614477346882914</v>
      </c>
      <c r="AD67" s="221">
        <v>9.6559912856439336</v>
      </c>
      <c r="AE67" s="221">
        <v>9.659618448531516</v>
      </c>
      <c r="AF67" s="221">
        <v>9.6803069496768597</v>
      </c>
      <c r="AG67" s="221">
        <v>9.7181600194094191</v>
      </c>
    </row>
    <row r="68" spans="1:33" x14ac:dyDescent="0.25">
      <c r="A68" s="204" t="s">
        <v>348</v>
      </c>
      <c r="B68" s="204" t="s">
        <v>349</v>
      </c>
      <c r="C68" s="204" t="s">
        <v>324</v>
      </c>
      <c r="D68" s="204" t="s">
        <v>190</v>
      </c>
      <c r="E68" s="204" t="s">
        <v>224</v>
      </c>
      <c r="F68" s="221">
        <v>13.645624301515621</v>
      </c>
      <c r="G68" s="221">
        <v>12.85872777006608</v>
      </c>
      <c r="H68" s="221">
        <v>20.399185181074884</v>
      </c>
      <c r="I68" s="221">
        <v>19.883439312083919</v>
      </c>
      <c r="J68" s="221">
        <v>17.297956848814422</v>
      </c>
      <c r="K68" s="221">
        <v>17.472565755565832</v>
      </c>
      <c r="L68" s="221">
        <v>17.168623785312064</v>
      </c>
      <c r="M68" s="221">
        <v>17.323507348841257</v>
      </c>
      <c r="N68" s="221">
        <v>17.669387681792752</v>
      </c>
      <c r="O68" s="221">
        <v>18.631495191313434</v>
      </c>
      <c r="P68" s="221">
        <v>19.991163215967376</v>
      </c>
      <c r="Q68" s="221">
        <v>22.469427682442749</v>
      </c>
      <c r="R68" s="221">
        <v>28.50939224660149</v>
      </c>
      <c r="S68" s="221">
        <v>31.136732659213752</v>
      </c>
      <c r="T68" s="221">
        <v>32.423592091035879</v>
      </c>
      <c r="U68" s="221">
        <v>34.238358706062741</v>
      </c>
      <c r="V68" s="221">
        <v>34.795133966879661</v>
      </c>
      <c r="W68" s="221">
        <v>37.271112657686658</v>
      </c>
      <c r="X68" s="221">
        <v>41.687777198071849</v>
      </c>
      <c r="Y68" s="221">
        <v>41.845021523824613</v>
      </c>
      <c r="Z68" s="221">
        <v>41.137236647939162</v>
      </c>
      <c r="AA68" s="221">
        <v>41.640305466065925</v>
      </c>
      <c r="AB68" s="221">
        <v>41.579251125028122</v>
      </c>
      <c r="AC68" s="221">
        <v>41.170932122717197</v>
      </c>
      <c r="AD68" s="221">
        <v>41.146727106677666</v>
      </c>
      <c r="AE68" s="221">
        <v>40.830796206214366</v>
      </c>
      <c r="AF68" s="221">
        <v>40.629939402155117</v>
      </c>
      <c r="AG68" s="221">
        <v>40.723942475879781</v>
      </c>
    </row>
    <row r="69" spans="1:33" x14ac:dyDescent="0.25">
      <c r="A69" s="204" t="s">
        <v>348</v>
      </c>
      <c r="B69" s="204" t="s">
        <v>349</v>
      </c>
      <c r="C69" s="204" t="s">
        <v>325</v>
      </c>
      <c r="D69" s="204" t="s">
        <v>190</v>
      </c>
      <c r="E69" s="204" t="s">
        <v>228</v>
      </c>
      <c r="F69" s="221">
        <v>18.366622282608699</v>
      </c>
      <c r="G69" s="221">
        <v>12.485108561250602</v>
      </c>
      <c r="H69" s="221">
        <v>1.9812514327166366</v>
      </c>
      <c r="I69" s="221">
        <v>1.4625242264878269</v>
      </c>
      <c r="J69" s="221">
        <v>1.091066210514767</v>
      </c>
      <c r="K69" s="221">
        <v>0.83820320638039125</v>
      </c>
      <c r="L69" s="221">
        <v>0.57397764156641928</v>
      </c>
      <c r="M69" s="221">
        <v>0.37567218531796931</v>
      </c>
      <c r="N69" s="221">
        <v>0.44043517542738092</v>
      </c>
      <c r="O69" s="221">
        <v>0.54018690288643434</v>
      </c>
      <c r="P69" s="221">
        <v>0.84798260170221817</v>
      </c>
      <c r="Q69" s="221">
        <v>1.3011959827822748</v>
      </c>
      <c r="R69" s="221">
        <v>2.0835808118234511</v>
      </c>
      <c r="S69" s="221">
        <v>2.2898390292779278</v>
      </c>
      <c r="T69" s="221">
        <v>2.5356072245282983</v>
      </c>
      <c r="U69" s="221">
        <v>1.7041882650509921</v>
      </c>
      <c r="V69" s="221">
        <v>0.96438285781307387</v>
      </c>
      <c r="W69" s="221">
        <v>0.45499233703363745</v>
      </c>
      <c r="X69" s="221">
        <v>0.62003995678353474</v>
      </c>
      <c r="Y69" s="221">
        <v>0.80953381176879624</v>
      </c>
      <c r="Z69" s="221">
        <v>1.0259638611826341</v>
      </c>
      <c r="AA69" s="221">
        <v>1.3009008344638202</v>
      </c>
      <c r="AB69" s="221">
        <v>1.6143259418656724</v>
      </c>
      <c r="AC69" s="221">
        <v>1.9239233715736692</v>
      </c>
      <c r="AD69" s="221">
        <v>2.2675716110610815</v>
      </c>
      <c r="AE69" s="221">
        <v>2.6034451826110643</v>
      </c>
      <c r="AF69" s="221">
        <v>2.9565809754222552</v>
      </c>
      <c r="AG69" s="221">
        <v>3.3089112322355785</v>
      </c>
    </row>
    <row r="70" spans="1:33" x14ac:dyDescent="0.25">
      <c r="A70" s="204" t="s">
        <v>348</v>
      </c>
      <c r="B70" s="204" t="s">
        <v>349</v>
      </c>
      <c r="C70" s="204" t="s">
        <v>326</v>
      </c>
      <c r="D70" s="204" t="s">
        <v>194</v>
      </c>
      <c r="E70" s="204" t="s">
        <v>184</v>
      </c>
      <c r="F70" s="221">
        <v>10.541406450933867</v>
      </c>
      <c r="G70" s="221">
        <v>7.0987649674941062</v>
      </c>
      <c r="H70" s="221">
        <v>2.4528561751814628</v>
      </c>
      <c r="I70" s="221">
        <v>2.6821445405409188</v>
      </c>
      <c r="J70" s="221">
        <v>2.7827208125665677</v>
      </c>
      <c r="K70" s="221">
        <v>3.193821162021838</v>
      </c>
      <c r="L70" s="221">
        <v>3.1981530151961932</v>
      </c>
      <c r="M70" s="221">
        <v>3.2566082351971271</v>
      </c>
      <c r="N70" s="221">
        <v>3.287964796497838</v>
      </c>
      <c r="O70" s="221">
        <v>3.4115197284275873</v>
      </c>
      <c r="P70" s="221">
        <v>3.6816781864307315</v>
      </c>
      <c r="Q70" s="221">
        <v>4.2064134926071306</v>
      </c>
      <c r="R70" s="221">
        <v>5.5069583329843477</v>
      </c>
      <c r="S70" s="221">
        <v>5.9831861805760793</v>
      </c>
      <c r="T70" s="221">
        <v>5.8762837552432492</v>
      </c>
      <c r="U70" s="221">
        <v>6.1720866009289175</v>
      </c>
      <c r="V70" s="221">
        <v>6.471827181103591</v>
      </c>
      <c r="W70" s="221">
        <v>6.7138908781910231</v>
      </c>
      <c r="X70" s="221">
        <v>6.9573263522296322</v>
      </c>
      <c r="Y70" s="221">
        <v>7.0128453638053792</v>
      </c>
      <c r="Z70" s="221">
        <v>7.5865631776952691</v>
      </c>
      <c r="AA70" s="221">
        <v>8.2550930829357902</v>
      </c>
      <c r="AB70" s="221">
        <v>8.455956561374915</v>
      </c>
      <c r="AC70" s="221">
        <v>8.6238899867255387</v>
      </c>
      <c r="AD70" s="221">
        <v>8.8377431384145488</v>
      </c>
      <c r="AE70" s="221">
        <v>9.0702044613664565</v>
      </c>
      <c r="AF70" s="221">
        <v>9.3045516370280836</v>
      </c>
      <c r="AG70" s="221">
        <v>9.548910347943723</v>
      </c>
    </row>
    <row r="71" spans="1:33" x14ac:dyDescent="0.25">
      <c r="A71" s="204" t="s">
        <v>348</v>
      </c>
      <c r="B71" s="204" t="s">
        <v>349</v>
      </c>
      <c r="C71" s="204" t="s">
        <v>327</v>
      </c>
      <c r="D71" s="204" t="s">
        <v>194</v>
      </c>
      <c r="E71" s="204" t="s">
        <v>191</v>
      </c>
      <c r="F71" s="221">
        <v>10.541406450933867</v>
      </c>
      <c r="G71" s="221">
        <v>7.0987649674941062</v>
      </c>
      <c r="H71" s="221">
        <v>2.4528561751814628</v>
      </c>
      <c r="I71" s="221">
        <v>2.6821445405409188</v>
      </c>
      <c r="J71" s="221">
        <v>2.7827208125665677</v>
      </c>
      <c r="K71" s="221">
        <v>3.193821162021838</v>
      </c>
      <c r="L71" s="221">
        <v>3.1981530151961932</v>
      </c>
      <c r="M71" s="221">
        <v>3.2566082351971271</v>
      </c>
      <c r="N71" s="221">
        <v>3.287964796497838</v>
      </c>
      <c r="O71" s="221">
        <v>3.4115197284275873</v>
      </c>
      <c r="P71" s="221">
        <v>3.6816781864307315</v>
      </c>
      <c r="Q71" s="221">
        <v>4.2064134926071306</v>
      </c>
      <c r="R71" s="221">
        <v>5.5069583329843477</v>
      </c>
      <c r="S71" s="221">
        <v>5.9831861805760793</v>
      </c>
      <c r="T71" s="221">
        <v>5.8762837552432492</v>
      </c>
      <c r="U71" s="221">
        <v>6.1720866009289175</v>
      </c>
      <c r="V71" s="221">
        <v>6.471827181103591</v>
      </c>
      <c r="W71" s="221">
        <v>6.7138908781910231</v>
      </c>
      <c r="X71" s="221">
        <v>6.9573263522296322</v>
      </c>
      <c r="Y71" s="221">
        <v>7.0128453638053792</v>
      </c>
      <c r="Z71" s="221">
        <v>7.5865631776952691</v>
      </c>
      <c r="AA71" s="221">
        <v>8.2550930829357902</v>
      </c>
      <c r="AB71" s="221">
        <v>8.455956561374915</v>
      </c>
      <c r="AC71" s="221">
        <v>8.6238899867255387</v>
      </c>
      <c r="AD71" s="221">
        <v>8.8377431384145488</v>
      </c>
      <c r="AE71" s="221">
        <v>9.0702044613664565</v>
      </c>
      <c r="AF71" s="221">
        <v>9.3045516370280836</v>
      </c>
      <c r="AG71" s="221">
        <v>9.548910347943723</v>
      </c>
    </row>
    <row r="72" spans="1:33" x14ac:dyDescent="0.25">
      <c r="A72" s="204" t="s">
        <v>348</v>
      </c>
      <c r="B72" s="204" t="s">
        <v>349</v>
      </c>
      <c r="C72" s="204" t="s">
        <v>328</v>
      </c>
      <c r="D72" s="204" t="s">
        <v>194</v>
      </c>
      <c r="E72" s="204" t="s">
        <v>196</v>
      </c>
      <c r="F72" s="221">
        <v>10.541406450933867</v>
      </c>
      <c r="G72" s="221">
        <v>7.0987649674941062</v>
      </c>
      <c r="H72" s="221">
        <v>2.4528561751814628</v>
      </c>
      <c r="I72" s="221">
        <v>2.6821445405409188</v>
      </c>
      <c r="J72" s="221">
        <v>2.7827208125665677</v>
      </c>
      <c r="K72" s="221">
        <v>3.193821162021838</v>
      </c>
      <c r="L72" s="221">
        <v>3.1981530151961932</v>
      </c>
      <c r="M72" s="221">
        <v>3.2566082351971271</v>
      </c>
      <c r="N72" s="221">
        <v>3.287964796497838</v>
      </c>
      <c r="O72" s="221">
        <v>3.4115197284275873</v>
      </c>
      <c r="P72" s="221">
        <v>3.6816781864307315</v>
      </c>
      <c r="Q72" s="221">
        <v>4.2064134926071306</v>
      </c>
      <c r="R72" s="221">
        <v>5.5069583329843477</v>
      </c>
      <c r="S72" s="221">
        <v>5.9831861805760793</v>
      </c>
      <c r="T72" s="221">
        <v>5.8762837552432492</v>
      </c>
      <c r="U72" s="221">
        <v>6.1720866009289175</v>
      </c>
      <c r="V72" s="221">
        <v>6.471827181103591</v>
      </c>
      <c r="W72" s="221">
        <v>6.7138908781910231</v>
      </c>
      <c r="X72" s="221">
        <v>6.9573263522296322</v>
      </c>
      <c r="Y72" s="221">
        <v>7.0128453638053792</v>
      </c>
      <c r="Z72" s="221">
        <v>7.5865631776952691</v>
      </c>
      <c r="AA72" s="221">
        <v>8.2550930829357902</v>
      </c>
      <c r="AB72" s="221">
        <v>8.455956561374915</v>
      </c>
      <c r="AC72" s="221">
        <v>8.6238899867255387</v>
      </c>
      <c r="AD72" s="221">
        <v>8.8377431384145488</v>
      </c>
      <c r="AE72" s="221">
        <v>9.0702044613664565</v>
      </c>
      <c r="AF72" s="221">
        <v>9.3045516370280836</v>
      </c>
      <c r="AG72" s="221">
        <v>9.548910347943723</v>
      </c>
    </row>
    <row r="73" spans="1:33" x14ac:dyDescent="0.25">
      <c r="A73" s="204" t="s">
        <v>348</v>
      </c>
      <c r="B73" s="204" t="s">
        <v>349</v>
      </c>
      <c r="C73" s="204" t="s">
        <v>329</v>
      </c>
      <c r="D73" s="204" t="s">
        <v>194</v>
      </c>
      <c r="E73" s="204" t="s">
        <v>201</v>
      </c>
      <c r="F73" s="221">
        <v>10.541406450933867</v>
      </c>
      <c r="G73" s="221">
        <v>7.0987649674941062</v>
      </c>
      <c r="H73" s="221">
        <v>2.4528561751814628</v>
      </c>
      <c r="I73" s="221">
        <v>2.6821445405409188</v>
      </c>
      <c r="J73" s="221">
        <v>2.7827208125665677</v>
      </c>
      <c r="K73" s="221">
        <v>3.193821162021838</v>
      </c>
      <c r="L73" s="221">
        <v>3.1981530151961932</v>
      </c>
      <c r="M73" s="221">
        <v>3.2566082351971271</v>
      </c>
      <c r="N73" s="221">
        <v>3.287964796497838</v>
      </c>
      <c r="O73" s="221">
        <v>3.4115197284275873</v>
      </c>
      <c r="P73" s="221">
        <v>3.6816781864307315</v>
      </c>
      <c r="Q73" s="221">
        <v>4.2064134926071306</v>
      </c>
      <c r="R73" s="221">
        <v>5.5069583329843477</v>
      </c>
      <c r="S73" s="221">
        <v>5.9831861805760793</v>
      </c>
      <c r="T73" s="221">
        <v>5.8762837552432492</v>
      </c>
      <c r="U73" s="221">
        <v>6.1720866009289175</v>
      </c>
      <c r="V73" s="221">
        <v>6.471827181103591</v>
      </c>
      <c r="W73" s="221">
        <v>6.7138908781910231</v>
      </c>
      <c r="X73" s="221">
        <v>6.9573263522296322</v>
      </c>
      <c r="Y73" s="221">
        <v>7.0128453638053792</v>
      </c>
      <c r="Z73" s="221">
        <v>7.5865631776952691</v>
      </c>
      <c r="AA73" s="221">
        <v>8.2550930829357902</v>
      </c>
      <c r="AB73" s="221">
        <v>8.455956561374915</v>
      </c>
      <c r="AC73" s="221">
        <v>8.6238899867255387</v>
      </c>
      <c r="AD73" s="221">
        <v>8.8377431384145488</v>
      </c>
      <c r="AE73" s="221">
        <v>9.0702044613664565</v>
      </c>
      <c r="AF73" s="221">
        <v>9.3045516370280836</v>
      </c>
      <c r="AG73" s="221">
        <v>9.548910347943723</v>
      </c>
    </row>
    <row r="74" spans="1:33" x14ac:dyDescent="0.25">
      <c r="A74" s="204" t="s">
        <v>348</v>
      </c>
      <c r="B74" s="204" t="s">
        <v>349</v>
      </c>
      <c r="C74" s="204" t="s">
        <v>330</v>
      </c>
      <c r="D74" s="204" t="s">
        <v>194</v>
      </c>
      <c r="E74" s="204" t="s">
        <v>205</v>
      </c>
      <c r="F74" s="221">
        <v>10.541406450933867</v>
      </c>
      <c r="G74" s="221">
        <v>7.0987649674941062</v>
      </c>
      <c r="H74" s="221">
        <v>2.4528561751814628</v>
      </c>
      <c r="I74" s="221">
        <v>2.6821445405409188</v>
      </c>
      <c r="J74" s="221">
        <v>2.7827208125665677</v>
      </c>
      <c r="K74" s="221">
        <v>3.193821162021838</v>
      </c>
      <c r="L74" s="221">
        <v>3.1981530151961932</v>
      </c>
      <c r="M74" s="221">
        <v>3.2566082351971271</v>
      </c>
      <c r="N74" s="221">
        <v>3.287964796497838</v>
      </c>
      <c r="O74" s="221">
        <v>3.4115197284275873</v>
      </c>
      <c r="P74" s="221">
        <v>3.6816781864307315</v>
      </c>
      <c r="Q74" s="221">
        <v>4.2064134926071306</v>
      </c>
      <c r="R74" s="221">
        <v>5.5069583329843477</v>
      </c>
      <c r="S74" s="221">
        <v>5.9831861805760793</v>
      </c>
      <c r="T74" s="221">
        <v>5.8762837552432492</v>
      </c>
      <c r="U74" s="221">
        <v>6.1720866009289175</v>
      </c>
      <c r="V74" s="221">
        <v>6.471827181103591</v>
      </c>
      <c r="W74" s="221">
        <v>6.7138908781910231</v>
      </c>
      <c r="X74" s="221">
        <v>6.9573263522296322</v>
      </c>
      <c r="Y74" s="221">
        <v>7.0128453638053792</v>
      </c>
      <c r="Z74" s="221">
        <v>7.5865631776952691</v>
      </c>
      <c r="AA74" s="221">
        <v>8.2550930829357902</v>
      </c>
      <c r="AB74" s="221">
        <v>8.455956561374915</v>
      </c>
      <c r="AC74" s="221">
        <v>8.6238899867255387</v>
      </c>
      <c r="AD74" s="221">
        <v>8.8377431384145488</v>
      </c>
      <c r="AE74" s="221">
        <v>9.0702044613664565</v>
      </c>
      <c r="AF74" s="221">
        <v>9.3045516370280836</v>
      </c>
      <c r="AG74" s="221">
        <v>9.548910347943723</v>
      </c>
    </row>
    <row r="75" spans="1:33" x14ac:dyDescent="0.25">
      <c r="A75" s="204" t="s">
        <v>348</v>
      </c>
      <c r="B75" s="204" t="s">
        <v>349</v>
      </c>
      <c r="C75" s="204" t="s">
        <v>331</v>
      </c>
      <c r="D75" s="204" t="s">
        <v>194</v>
      </c>
      <c r="E75" s="204" t="s">
        <v>209</v>
      </c>
      <c r="F75" s="221">
        <v>10.541406450933867</v>
      </c>
      <c r="G75" s="221">
        <v>7.0987649674941062</v>
      </c>
      <c r="H75" s="221">
        <v>2.4528561751814628</v>
      </c>
      <c r="I75" s="221">
        <v>2.6821445405409188</v>
      </c>
      <c r="J75" s="221">
        <v>2.7827208125665677</v>
      </c>
      <c r="K75" s="221">
        <v>3.193821162021838</v>
      </c>
      <c r="L75" s="221">
        <v>3.1981530151961932</v>
      </c>
      <c r="M75" s="221">
        <v>3.2566082351971271</v>
      </c>
      <c r="N75" s="221">
        <v>3.287964796497838</v>
      </c>
      <c r="O75" s="221">
        <v>3.4115197284275873</v>
      </c>
      <c r="P75" s="221">
        <v>3.6816781864307315</v>
      </c>
      <c r="Q75" s="221">
        <v>4.2064134926071306</v>
      </c>
      <c r="R75" s="221">
        <v>5.5069583329843477</v>
      </c>
      <c r="S75" s="221">
        <v>5.9831861805760793</v>
      </c>
      <c r="T75" s="221">
        <v>5.8762837552432492</v>
      </c>
      <c r="U75" s="221">
        <v>6.1720866009289175</v>
      </c>
      <c r="V75" s="221">
        <v>6.471827181103591</v>
      </c>
      <c r="W75" s="221">
        <v>6.7138908781910231</v>
      </c>
      <c r="X75" s="221">
        <v>6.9573263522296322</v>
      </c>
      <c r="Y75" s="221">
        <v>7.0128453638053792</v>
      </c>
      <c r="Z75" s="221">
        <v>7.5865631776952691</v>
      </c>
      <c r="AA75" s="221">
        <v>8.2550930829357902</v>
      </c>
      <c r="AB75" s="221">
        <v>8.455956561374915</v>
      </c>
      <c r="AC75" s="221">
        <v>8.6238899867255387</v>
      </c>
      <c r="AD75" s="221">
        <v>8.8377431384145488</v>
      </c>
      <c r="AE75" s="221">
        <v>9.0702044613664565</v>
      </c>
      <c r="AF75" s="221">
        <v>9.3045516370280836</v>
      </c>
      <c r="AG75" s="221">
        <v>9.548910347943723</v>
      </c>
    </row>
    <row r="76" spans="1:33" x14ac:dyDescent="0.25">
      <c r="A76" s="204" t="s">
        <v>348</v>
      </c>
      <c r="B76" s="204" t="s">
        <v>349</v>
      </c>
      <c r="C76" s="204" t="s">
        <v>332</v>
      </c>
      <c r="D76" s="204" t="s">
        <v>194</v>
      </c>
      <c r="E76" s="204" t="s">
        <v>213</v>
      </c>
      <c r="F76" s="221">
        <v>13.095919057141765</v>
      </c>
      <c r="G76" s="221">
        <v>11.644465341415771</v>
      </c>
      <c r="H76" s="221">
        <v>5.245542288701337</v>
      </c>
      <c r="I76" s="221">
        <v>4.4864649148795541</v>
      </c>
      <c r="J76" s="221">
        <v>4.0358089467034111</v>
      </c>
      <c r="K76" s="221">
        <v>4.0251698822535289</v>
      </c>
      <c r="L76" s="221">
        <v>3.5494570354697017</v>
      </c>
      <c r="M76" s="221">
        <v>3.2731132297986645</v>
      </c>
      <c r="N76" s="221">
        <v>3.4729333551680295</v>
      </c>
      <c r="O76" s="221">
        <v>3.7926388089615042</v>
      </c>
      <c r="P76" s="221">
        <v>4.2600341952159582</v>
      </c>
      <c r="Q76" s="221">
        <v>5.0479119295091639</v>
      </c>
      <c r="R76" s="221">
        <v>6.7976032000387496</v>
      </c>
      <c r="S76" s="221">
        <v>7.7117550019787346</v>
      </c>
      <c r="T76" s="221">
        <v>8.0346918979225901</v>
      </c>
      <c r="U76" s="221">
        <v>8.9497367262255505</v>
      </c>
      <c r="V76" s="221">
        <v>9.0506433845000807</v>
      </c>
      <c r="W76" s="221">
        <v>8.3416503248458689</v>
      </c>
      <c r="X76" s="221">
        <v>8.5661328826649168</v>
      </c>
      <c r="Y76" s="221">
        <v>8.3880640716389028</v>
      </c>
      <c r="Z76" s="221">
        <v>9.0135564887459356</v>
      </c>
      <c r="AA76" s="221">
        <v>9.7486599148326185</v>
      </c>
      <c r="AB76" s="221">
        <v>9.7197784016162743</v>
      </c>
      <c r="AC76" s="221">
        <v>9.6614477346882914</v>
      </c>
      <c r="AD76" s="221">
        <v>9.6559912856439336</v>
      </c>
      <c r="AE76" s="221">
        <v>9.659618448531516</v>
      </c>
      <c r="AF76" s="221">
        <v>9.6803069496768597</v>
      </c>
      <c r="AG76" s="221">
        <v>9.7181600194094191</v>
      </c>
    </row>
    <row r="77" spans="1:33" x14ac:dyDescent="0.25">
      <c r="A77" s="204" t="s">
        <v>348</v>
      </c>
      <c r="B77" s="204" t="s">
        <v>349</v>
      </c>
      <c r="C77" s="204" t="s">
        <v>333</v>
      </c>
      <c r="D77" s="204" t="s">
        <v>194</v>
      </c>
      <c r="E77" s="204" t="s">
        <v>216</v>
      </c>
      <c r="F77" s="221">
        <v>13.095919057141765</v>
      </c>
      <c r="G77" s="221">
        <v>11.644465341415771</v>
      </c>
      <c r="H77" s="221">
        <v>5.245542288701337</v>
      </c>
      <c r="I77" s="221">
        <v>4.4864649148795541</v>
      </c>
      <c r="J77" s="221">
        <v>4.0358089467034111</v>
      </c>
      <c r="K77" s="221">
        <v>4.0251698822535289</v>
      </c>
      <c r="L77" s="221">
        <v>3.5494570354697017</v>
      </c>
      <c r="M77" s="221">
        <v>3.2731132297986645</v>
      </c>
      <c r="N77" s="221">
        <v>3.4729333551680295</v>
      </c>
      <c r="O77" s="221">
        <v>3.7926388089615042</v>
      </c>
      <c r="P77" s="221">
        <v>4.2600341952159582</v>
      </c>
      <c r="Q77" s="221">
        <v>5.0479119295091639</v>
      </c>
      <c r="R77" s="221">
        <v>6.7976032000387496</v>
      </c>
      <c r="S77" s="221">
        <v>7.7117550019787346</v>
      </c>
      <c r="T77" s="221">
        <v>8.0346918979225901</v>
      </c>
      <c r="U77" s="221">
        <v>8.9497367262255505</v>
      </c>
      <c r="V77" s="221">
        <v>9.0506433845000807</v>
      </c>
      <c r="W77" s="221">
        <v>8.3416503248458689</v>
      </c>
      <c r="X77" s="221">
        <v>8.5661328826649168</v>
      </c>
      <c r="Y77" s="221">
        <v>8.3880640716389028</v>
      </c>
      <c r="Z77" s="221">
        <v>9.0135564887459356</v>
      </c>
      <c r="AA77" s="221">
        <v>9.7486599148326185</v>
      </c>
      <c r="AB77" s="221">
        <v>9.7197784016162743</v>
      </c>
      <c r="AC77" s="221">
        <v>9.6614477346882914</v>
      </c>
      <c r="AD77" s="221">
        <v>9.6559912856439336</v>
      </c>
      <c r="AE77" s="221">
        <v>9.659618448531516</v>
      </c>
      <c r="AF77" s="221">
        <v>9.6803069496768597</v>
      </c>
      <c r="AG77" s="221">
        <v>9.7181600194094191</v>
      </c>
    </row>
    <row r="78" spans="1:33" x14ac:dyDescent="0.25">
      <c r="A78" s="204" t="s">
        <v>348</v>
      </c>
      <c r="B78" s="204" t="s">
        <v>349</v>
      </c>
      <c r="C78" s="204" t="s">
        <v>334</v>
      </c>
      <c r="D78" s="204" t="s">
        <v>194</v>
      </c>
      <c r="E78" s="204" t="s">
        <v>220</v>
      </c>
      <c r="F78" s="221">
        <v>13.095919057141765</v>
      </c>
      <c r="G78" s="221">
        <v>11.644465341415771</v>
      </c>
      <c r="H78" s="221">
        <v>5.245542288701337</v>
      </c>
      <c r="I78" s="221">
        <v>4.4864649148795541</v>
      </c>
      <c r="J78" s="221">
        <v>4.0358089467034111</v>
      </c>
      <c r="K78" s="221">
        <v>4.0251698822535289</v>
      </c>
      <c r="L78" s="221">
        <v>3.5494570354697017</v>
      </c>
      <c r="M78" s="221">
        <v>3.2731132297986645</v>
      </c>
      <c r="N78" s="221">
        <v>3.4729333551680295</v>
      </c>
      <c r="O78" s="221">
        <v>3.7926388089615042</v>
      </c>
      <c r="P78" s="221">
        <v>4.2600341952159582</v>
      </c>
      <c r="Q78" s="221">
        <v>5.0479119295091639</v>
      </c>
      <c r="R78" s="221">
        <v>6.7976032000387496</v>
      </c>
      <c r="S78" s="221">
        <v>7.7117550019787346</v>
      </c>
      <c r="T78" s="221">
        <v>8.0346918979225901</v>
      </c>
      <c r="U78" s="221">
        <v>8.9497367262255505</v>
      </c>
      <c r="V78" s="221">
        <v>9.0506433845000807</v>
      </c>
      <c r="W78" s="221">
        <v>8.3416503248458689</v>
      </c>
      <c r="X78" s="221">
        <v>8.5661328826649168</v>
      </c>
      <c r="Y78" s="221">
        <v>8.3880640716389028</v>
      </c>
      <c r="Z78" s="221">
        <v>9.0135564887459356</v>
      </c>
      <c r="AA78" s="221">
        <v>9.7486599148326185</v>
      </c>
      <c r="AB78" s="221">
        <v>9.7197784016162743</v>
      </c>
      <c r="AC78" s="221">
        <v>9.6614477346882914</v>
      </c>
      <c r="AD78" s="221">
        <v>9.6559912856439336</v>
      </c>
      <c r="AE78" s="221">
        <v>9.659618448531516</v>
      </c>
      <c r="AF78" s="221">
        <v>9.6803069496768597</v>
      </c>
      <c r="AG78" s="221">
        <v>9.7181600194094191</v>
      </c>
    </row>
    <row r="79" spans="1:33" x14ac:dyDescent="0.25">
      <c r="A79" s="204" t="s">
        <v>348</v>
      </c>
      <c r="B79" s="204" t="s">
        <v>349</v>
      </c>
      <c r="C79" s="204" t="s">
        <v>335</v>
      </c>
      <c r="D79" s="204" t="s">
        <v>194</v>
      </c>
      <c r="E79" s="204" t="s">
        <v>224</v>
      </c>
      <c r="F79" s="221">
        <v>13.645624301515621</v>
      </c>
      <c r="G79" s="221">
        <v>12.85872777006608</v>
      </c>
      <c r="H79" s="221">
        <v>20.399185181074884</v>
      </c>
      <c r="I79" s="221">
        <v>19.883439312083919</v>
      </c>
      <c r="J79" s="221">
        <v>17.297956848814422</v>
      </c>
      <c r="K79" s="221">
        <v>17.472565755565832</v>
      </c>
      <c r="L79" s="221">
        <v>17.168623785312064</v>
      </c>
      <c r="M79" s="221">
        <v>17.323507348841257</v>
      </c>
      <c r="N79" s="221">
        <v>17.669387681792752</v>
      </c>
      <c r="O79" s="221">
        <v>18.631495191313434</v>
      </c>
      <c r="P79" s="221">
        <v>19.991163215967376</v>
      </c>
      <c r="Q79" s="221">
        <v>22.469427682442749</v>
      </c>
      <c r="R79" s="221">
        <v>28.50939224660149</v>
      </c>
      <c r="S79" s="221">
        <v>31.136732659213752</v>
      </c>
      <c r="T79" s="221">
        <v>32.423592091035879</v>
      </c>
      <c r="U79" s="221">
        <v>34.238358706062741</v>
      </c>
      <c r="V79" s="221">
        <v>34.795133966879661</v>
      </c>
      <c r="W79" s="221">
        <v>37.271112657686658</v>
      </c>
      <c r="X79" s="221">
        <v>41.687777198071849</v>
      </c>
      <c r="Y79" s="221">
        <v>41.845021523824613</v>
      </c>
      <c r="Z79" s="221">
        <v>41.137236647939162</v>
      </c>
      <c r="AA79" s="221">
        <v>41.640305466065925</v>
      </c>
      <c r="AB79" s="221">
        <v>41.579251125028122</v>
      </c>
      <c r="AC79" s="221">
        <v>41.170932122717197</v>
      </c>
      <c r="AD79" s="221">
        <v>41.146727106677666</v>
      </c>
      <c r="AE79" s="221">
        <v>40.830796206214366</v>
      </c>
      <c r="AF79" s="221">
        <v>40.629939402155117</v>
      </c>
      <c r="AG79" s="221">
        <v>40.723942475879781</v>
      </c>
    </row>
    <row r="80" spans="1:33" x14ac:dyDescent="0.25">
      <c r="A80" s="204" t="s">
        <v>348</v>
      </c>
      <c r="B80" s="204" t="s">
        <v>349</v>
      </c>
      <c r="C80" s="204" t="s">
        <v>336</v>
      </c>
      <c r="D80" s="204" t="s">
        <v>194</v>
      </c>
      <c r="E80" s="204" t="s">
        <v>228</v>
      </c>
      <c r="F80" s="221">
        <v>18.366622282608699</v>
      </c>
      <c r="G80" s="221">
        <v>12.485108561250602</v>
      </c>
      <c r="H80" s="221">
        <v>1.9812514327166366</v>
      </c>
      <c r="I80" s="221">
        <v>1.4625242264878269</v>
      </c>
      <c r="J80" s="221">
        <v>1.091066210514767</v>
      </c>
      <c r="K80" s="221">
        <v>0.83820320638039125</v>
      </c>
      <c r="L80" s="221">
        <v>0.57397764156641928</v>
      </c>
      <c r="M80" s="221">
        <v>0.37567218531796931</v>
      </c>
      <c r="N80" s="221">
        <v>0.44043517542738092</v>
      </c>
      <c r="O80" s="221">
        <v>0.54018690288643434</v>
      </c>
      <c r="P80" s="221">
        <v>0.84798260170221817</v>
      </c>
      <c r="Q80" s="221">
        <v>1.3011959827822748</v>
      </c>
      <c r="R80" s="221">
        <v>2.0835808118234511</v>
      </c>
      <c r="S80" s="221">
        <v>2.2898390292779278</v>
      </c>
      <c r="T80" s="221">
        <v>2.5356072245282983</v>
      </c>
      <c r="U80" s="221">
        <v>1.7041882650509921</v>
      </c>
      <c r="V80" s="221">
        <v>0.96438285781307387</v>
      </c>
      <c r="W80" s="221">
        <v>0.45499233703363745</v>
      </c>
      <c r="X80" s="221">
        <v>0.62003995678353474</v>
      </c>
      <c r="Y80" s="221">
        <v>0.80953381176879624</v>
      </c>
      <c r="Z80" s="221">
        <v>1.0259638611826341</v>
      </c>
      <c r="AA80" s="221">
        <v>1.3009008344638202</v>
      </c>
      <c r="AB80" s="221">
        <v>1.6143259418656724</v>
      </c>
      <c r="AC80" s="221">
        <v>1.9239233715736692</v>
      </c>
      <c r="AD80" s="221">
        <v>2.2675716110610815</v>
      </c>
      <c r="AE80" s="221">
        <v>2.6034451826110643</v>
      </c>
      <c r="AF80" s="221">
        <v>2.9565809754222552</v>
      </c>
      <c r="AG80" s="221">
        <v>3.3089112322355785</v>
      </c>
    </row>
    <row r="81" spans="1:62" x14ac:dyDescent="0.25">
      <c r="A81" s="204" t="s">
        <v>348</v>
      </c>
      <c r="B81" s="204" t="s">
        <v>349</v>
      </c>
      <c r="C81" s="204" t="s">
        <v>337</v>
      </c>
      <c r="D81" s="204" t="s">
        <v>7</v>
      </c>
      <c r="E81" s="204" t="s">
        <v>184</v>
      </c>
      <c r="F81" s="221">
        <v>3.8663977005350056</v>
      </c>
      <c r="G81" s="221">
        <v>2.6480420888931118</v>
      </c>
      <c r="H81" s="221">
        <v>7.367709305672749</v>
      </c>
      <c r="I81" s="221">
        <v>8.3717438711654406</v>
      </c>
      <c r="J81" s="221">
        <v>9.0641556405698918</v>
      </c>
      <c r="K81" s="221">
        <v>10.826160718698441</v>
      </c>
      <c r="L81" s="221">
        <v>11.258790180639277</v>
      </c>
      <c r="M81" s="221">
        <v>11.862421757641242</v>
      </c>
      <c r="N81" s="221">
        <v>12.06131269753257</v>
      </c>
      <c r="O81" s="221">
        <v>12.588992899456857</v>
      </c>
      <c r="P81" s="221">
        <v>13.648117420336076</v>
      </c>
      <c r="Q81" s="221">
        <v>15.645505856604174</v>
      </c>
      <c r="R81" s="221">
        <v>20.529267482255573</v>
      </c>
      <c r="S81" s="221">
        <v>23.125404235704114</v>
      </c>
      <c r="T81" s="221">
        <v>23.504685885211263</v>
      </c>
      <c r="U81" s="221">
        <v>25.128597718795145</v>
      </c>
      <c r="V81" s="221">
        <v>25.979243369686539</v>
      </c>
      <c r="W81" s="221">
        <v>25.371757708215956</v>
      </c>
      <c r="X81" s="221">
        <v>25.773637584007236</v>
      </c>
      <c r="Y81" s="221">
        <v>25.425481975853216</v>
      </c>
      <c r="Z81" s="221">
        <v>26.881054772703347</v>
      </c>
      <c r="AA81" s="221">
        <v>28.500753731252733</v>
      </c>
      <c r="AB81" s="221">
        <v>28.461813570197254</v>
      </c>
      <c r="AC81" s="221">
        <v>28.271238194760073</v>
      </c>
      <c r="AD81" s="221">
        <v>28.183561164330754</v>
      </c>
      <c r="AE81" s="221">
        <v>28.110768514812694</v>
      </c>
      <c r="AF81" s="221">
        <v>28.012833808400579</v>
      </c>
      <c r="AG81" s="221">
        <v>27.904802742939687</v>
      </c>
    </row>
    <row r="82" spans="1:62" x14ac:dyDescent="0.25">
      <c r="A82" s="204" t="s">
        <v>348</v>
      </c>
      <c r="B82" s="204" t="s">
        <v>349</v>
      </c>
      <c r="C82" s="204" t="s">
        <v>338</v>
      </c>
      <c r="D82" s="204" t="s">
        <v>7</v>
      </c>
      <c r="E82" s="204" t="s">
        <v>191</v>
      </c>
      <c r="F82" s="221">
        <v>3.8663977005350056</v>
      </c>
      <c r="G82" s="221">
        <v>2.6480420888931118</v>
      </c>
      <c r="H82" s="221">
        <v>7.367709305672749</v>
      </c>
      <c r="I82" s="221">
        <v>8.3717438711654406</v>
      </c>
      <c r="J82" s="221">
        <v>9.0641556405698918</v>
      </c>
      <c r="K82" s="221">
        <v>10.826160718698441</v>
      </c>
      <c r="L82" s="221">
        <v>11.258790180639277</v>
      </c>
      <c r="M82" s="221">
        <v>11.862421757641242</v>
      </c>
      <c r="N82" s="221">
        <v>12.06131269753257</v>
      </c>
      <c r="O82" s="221">
        <v>12.588992899456857</v>
      </c>
      <c r="P82" s="221">
        <v>13.648117420336076</v>
      </c>
      <c r="Q82" s="221">
        <v>15.645505856604174</v>
      </c>
      <c r="R82" s="221">
        <v>20.529267482255573</v>
      </c>
      <c r="S82" s="221">
        <v>23.125404235704114</v>
      </c>
      <c r="T82" s="221">
        <v>23.504685885211263</v>
      </c>
      <c r="U82" s="221">
        <v>25.128597718795145</v>
      </c>
      <c r="V82" s="221">
        <v>25.979243369686539</v>
      </c>
      <c r="W82" s="221">
        <v>25.371757708215956</v>
      </c>
      <c r="X82" s="221">
        <v>25.773637584007236</v>
      </c>
      <c r="Y82" s="221">
        <v>25.425481975853216</v>
      </c>
      <c r="Z82" s="221">
        <v>26.881054772703347</v>
      </c>
      <c r="AA82" s="221">
        <v>28.500753731252733</v>
      </c>
      <c r="AB82" s="221">
        <v>28.461813570197254</v>
      </c>
      <c r="AC82" s="221">
        <v>28.271238194760073</v>
      </c>
      <c r="AD82" s="221">
        <v>28.183561164330754</v>
      </c>
      <c r="AE82" s="221">
        <v>28.110768514812694</v>
      </c>
      <c r="AF82" s="221">
        <v>28.012833808400579</v>
      </c>
      <c r="AG82" s="221">
        <v>27.904802742939687</v>
      </c>
    </row>
    <row r="83" spans="1:62" x14ac:dyDescent="0.25">
      <c r="A83" s="204" t="s">
        <v>348</v>
      </c>
      <c r="B83" s="204" t="s">
        <v>349</v>
      </c>
      <c r="C83" s="204" t="s">
        <v>339</v>
      </c>
      <c r="D83" s="204" t="s">
        <v>7</v>
      </c>
      <c r="E83" s="204" t="s">
        <v>196</v>
      </c>
      <c r="F83" s="221">
        <v>3.8663977005350056</v>
      </c>
      <c r="G83" s="221">
        <v>2.6480420888931118</v>
      </c>
      <c r="H83" s="221">
        <v>7.367709305672749</v>
      </c>
      <c r="I83" s="221">
        <v>8.3717438711654406</v>
      </c>
      <c r="J83" s="221">
        <v>9.0641556405698918</v>
      </c>
      <c r="K83" s="221">
        <v>10.826160718698441</v>
      </c>
      <c r="L83" s="221">
        <v>11.258790180639277</v>
      </c>
      <c r="M83" s="221">
        <v>11.862421757641242</v>
      </c>
      <c r="N83" s="221">
        <v>12.06131269753257</v>
      </c>
      <c r="O83" s="221">
        <v>12.588992899456857</v>
      </c>
      <c r="P83" s="221">
        <v>13.648117420336076</v>
      </c>
      <c r="Q83" s="221">
        <v>15.645505856604174</v>
      </c>
      <c r="R83" s="221">
        <v>20.529267482255573</v>
      </c>
      <c r="S83" s="221">
        <v>23.125404235704114</v>
      </c>
      <c r="T83" s="221">
        <v>23.504685885211263</v>
      </c>
      <c r="U83" s="221">
        <v>25.128597718795145</v>
      </c>
      <c r="V83" s="221">
        <v>25.979243369686539</v>
      </c>
      <c r="W83" s="221">
        <v>25.371757708215956</v>
      </c>
      <c r="X83" s="221">
        <v>25.773637584007236</v>
      </c>
      <c r="Y83" s="221">
        <v>25.425481975853216</v>
      </c>
      <c r="Z83" s="221">
        <v>26.881054772703347</v>
      </c>
      <c r="AA83" s="221">
        <v>28.500753731252733</v>
      </c>
      <c r="AB83" s="221">
        <v>28.461813570197254</v>
      </c>
      <c r="AC83" s="221">
        <v>28.271238194760073</v>
      </c>
      <c r="AD83" s="221">
        <v>28.183561164330754</v>
      </c>
      <c r="AE83" s="221">
        <v>28.110768514812694</v>
      </c>
      <c r="AF83" s="221">
        <v>28.012833808400579</v>
      </c>
      <c r="AG83" s="221">
        <v>27.904802742939687</v>
      </c>
    </row>
    <row r="84" spans="1:62" x14ac:dyDescent="0.25">
      <c r="A84" s="204" t="s">
        <v>348</v>
      </c>
      <c r="B84" s="204" t="s">
        <v>349</v>
      </c>
      <c r="C84" s="204" t="s">
        <v>340</v>
      </c>
      <c r="D84" s="204" t="s">
        <v>7</v>
      </c>
      <c r="E84" s="204" t="s">
        <v>201</v>
      </c>
      <c r="F84" s="221">
        <v>3.8663977005350056</v>
      </c>
      <c r="G84" s="221">
        <v>2.6480420888931118</v>
      </c>
      <c r="H84" s="221">
        <v>7.367709305672749</v>
      </c>
      <c r="I84" s="221">
        <v>8.3717438711654406</v>
      </c>
      <c r="J84" s="221">
        <v>9.0641556405698918</v>
      </c>
      <c r="K84" s="221">
        <v>10.826160718698441</v>
      </c>
      <c r="L84" s="221">
        <v>11.258790180639277</v>
      </c>
      <c r="M84" s="221">
        <v>11.862421757641242</v>
      </c>
      <c r="N84" s="221">
        <v>12.06131269753257</v>
      </c>
      <c r="O84" s="221">
        <v>12.588992899456857</v>
      </c>
      <c r="P84" s="221">
        <v>13.648117420336076</v>
      </c>
      <c r="Q84" s="221">
        <v>15.645505856604174</v>
      </c>
      <c r="R84" s="221">
        <v>20.529267482255573</v>
      </c>
      <c r="S84" s="221">
        <v>23.125404235704114</v>
      </c>
      <c r="T84" s="221">
        <v>23.504685885211263</v>
      </c>
      <c r="U84" s="221">
        <v>25.128597718795145</v>
      </c>
      <c r="V84" s="221">
        <v>25.979243369686539</v>
      </c>
      <c r="W84" s="221">
        <v>25.371757708215956</v>
      </c>
      <c r="X84" s="221">
        <v>25.773637584007236</v>
      </c>
      <c r="Y84" s="221">
        <v>25.425481975853216</v>
      </c>
      <c r="Z84" s="221">
        <v>26.881054772703347</v>
      </c>
      <c r="AA84" s="221">
        <v>28.500753731252733</v>
      </c>
      <c r="AB84" s="221">
        <v>28.461813570197254</v>
      </c>
      <c r="AC84" s="221">
        <v>28.271238194760073</v>
      </c>
      <c r="AD84" s="221">
        <v>28.183561164330754</v>
      </c>
      <c r="AE84" s="221">
        <v>28.110768514812694</v>
      </c>
      <c r="AF84" s="221">
        <v>28.012833808400579</v>
      </c>
      <c r="AG84" s="221">
        <v>27.904802742939687</v>
      </c>
    </row>
    <row r="85" spans="1:62" x14ac:dyDescent="0.25">
      <c r="A85" s="204" t="s">
        <v>348</v>
      </c>
      <c r="B85" s="204" t="s">
        <v>349</v>
      </c>
      <c r="C85" s="204" t="s">
        <v>341</v>
      </c>
      <c r="D85" s="204" t="s">
        <v>7</v>
      </c>
      <c r="E85" s="204" t="s">
        <v>205</v>
      </c>
      <c r="F85" s="221">
        <v>3.8663977005350056</v>
      </c>
      <c r="G85" s="221">
        <v>2.6480420888931118</v>
      </c>
      <c r="H85" s="221">
        <v>7.367709305672749</v>
      </c>
      <c r="I85" s="221">
        <v>8.3717438711654406</v>
      </c>
      <c r="J85" s="221">
        <v>9.0641556405698918</v>
      </c>
      <c r="K85" s="221">
        <v>10.826160718698441</v>
      </c>
      <c r="L85" s="221">
        <v>11.258790180639277</v>
      </c>
      <c r="M85" s="221">
        <v>11.862421757641242</v>
      </c>
      <c r="N85" s="221">
        <v>12.06131269753257</v>
      </c>
      <c r="O85" s="221">
        <v>12.588992899456857</v>
      </c>
      <c r="P85" s="221">
        <v>13.648117420336076</v>
      </c>
      <c r="Q85" s="221">
        <v>15.645505856604174</v>
      </c>
      <c r="R85" s="221">
        <v>20.529267482255573</v>
      </c>
      <c r="S85" s="221">
        <v>23.125404235704114</v>
      </c>
      <c r="T85" s="221">
        <v>23.504685885211263</v>
      </c>
      <c r="U85" s="221">
        <v>25.128597718795145</v>
      </c>
      <c r="V85" s="221">
        <v>25.979243369686539</v>
      </c>
      <c r="W85" s="221">
        <v>25.371757708215956</v>
      </c>
      <c r="X85" s="221">
        <v>25.773637584007236</v>
      </c>
      <c r="Y85" s="221">
        <v>25.425481975853216</v>
      </c>
      <c r="Z85" s="221">
        <v>26.881054772703347</v>
      </c>
      <c r="AA85" s="221">
        <v>28.500753731252733</v>
      </c>
      <c r="AB85" s="221">
        <v>28.461813570197254</v>
      </c>
      <c r="AC85" s="221">
        <v>28.271238194760073</v>
      </c>
      <c r="AD85" s="221">
        <v>28.183561164330754</v>
      </c>
      <c r="AE85" s="221">
        <v>28.110768514812694</v>
      </c>
      <c r="AF85" s="221">
        <v>28.012833808400579</v>
      </c>
      <c r="AG85" s="221">
        <v>27.904802742939687</v>
      </c>
    </row>
    <row r="86" spans="1:62" x14ac:dyDescent="0.25">
      <c r="A86" s="204" t="s">
        <v>348</v>
      </c>
      <c r="B86" s="204" t="s">
        <v>349</v>
      </c>
      <c r="C86" s="204" t="s">
        <v>342</v>
      </c>
      <c r="D86" s="204" t="s">
        <v>7</v>
      </c>
      <c r="E86" s="204" t="s">
        <v>209</v>
      </c>
      <c r="F86" s="221">
        <v>3.8663977005350056</v>
      </c>
      <c r="G86" s="221">
        <v>2.6480420888931118</v>
      </c>
      <c r="H86" s="221">
        <v>7.367709305672749</v>
      </c>
      <c r="I86" s="221">
        <v>8.3717438711654406</v>
      </c>
      <c r="J86" s="221">
        <v>9.0641556405698918</v>
      </c>
      <c r="K86" s="221">
        <v>10.826160718698441</v>
      </c>
      <c r="L86" s="221">
        <v>11.258790180639277</v>
      </c>
      <c r="M86" s="221">
        <v>11.862421757641242</v>
      </c>
      <c r="N86" s="221">
        <v>12.06131269753257</v>
      </c>
      <c r="O86" s="221">
        <v>12.588992899456857</v>
      </c>
      <c r="P86" s="221">
        <v>13.648117420336076</v>
      </c>
      <c r="Q86" s="221">
        <v>15.645505856604174</v>
      </c>
      <c r="R86" s="221">
        <v>20.529267482255573</v>
      </c>
      <c r="S86" s="221">
        <v>23.125404235704114</v>
      </c>
      <c r="T86" s="221">
        <v>23.504685885211263</v>
      </c>
      <c r="U86" s="221">
        <v>25.128597718795145</v>
      </c>
      <c r="V86" s="221">
        <v>25.979243369686539</v>
      </c>
      <c r="W86" s="221">
        <v>25.371757708215956</v>
      </c>
      <c r="X86" s="221">
        <v>25.773637584007236</v>
      </c>
      <c r="Y86" s="221">
        <v>25.425481975853216</v>
      </c>
      <c r="Z86" s="221">
        <v>26.881054772703347</v>
      </c>
      <c r="AA86" s="221">
        <v>28.500753731252733</v>
      </c>
      <c r="AB86" s="221">
        <v>28.461813570197254</v>
      </c>
      <c r="AC86" s="221">
        <v>28.271238194760073</v>
      </c>
      <c r="AD86" s="221">
        <v>28.183561164330754</v>
      </c>
      <c r="AE86" s="221">
        <v>28.110768514812694</v>
      </c>
      <c r="AF86" s="221">
        <v>28.012833808400579</v>
      </c>
      <c r="AG86" s="221">
        <v>27.904802742939687</v>
      </c>
    </row>
    <row r="87" spans="1:62" x14ac:dyDescent="0.25">
      <c r="A87" s="204" t="s">
        <v>348</v>
      </c>
      <c r="B87" s="204" t="s">
        <v>349</v>
      </c>
      <c r="C87" s="204" t="s">
        <v>343</v>
      </c>
      <c r="D87" s="204" t="s">
        <v>7</v>
      </c>
      <c r="E87" s="204" t="s">
        <v>213</v>
      </c>
      <c r="F87" s="221">
        <v>4.8033468365542245</v>
      </c>
      <c r="G87" s="221">
        <v>4.3437181633597532</v>
      </c>
      <c r="H87" s="221">
        <v>2.3249833482984199</v>
      </c>
      <c r="I87" s="221">
        <v>2.5850171660608443</v>
      </c>
      <c r="J87" s="221">
        <v>2.7074263332588759</v>
      </c>
      <c r="K87" s="221">
        <v>3.1295290464400738</v>
      </c>
      <c r="L87" s="221">
        <v>3.1773614746198322</v>
      </c>
      <c r="M87" s="221">
        <v>3.3422024323775528</v>
      </c>
      <c r="N87" s="221">
        <v>3.4361748782447572</v>
      </c>
      <c r="O87" s="221">
        <v>3.6226506890593781</v>
      </c>
      <c r="P87" s="221">
        <v>3.9077423577723116</v>
      </c>
      <c r="Q87" s="221">
        <v>4.4326509145273008</v>
      </c>
      <c r="R87" s="221">
        <v>5.6978545733582369</v>
      </c>
      <c r="S87" s="221">
        <v>6.2763836217800275</v>
      </c>
      <c r="T87" s="221">
        <v>6.3192449319757609</v>
      </c>
      <c r="U87" s="221">
        <v>6.7161630770221912</v>
      </c>
      <c r="V87" s="221">
        <v>6.9787293302309026</v>
      </c>
      <c r="W87" s="221">
        <v>6.7671445592426567</v>
      </c>
      <c r="X87" s="221">
        <v>6.9270966823013316</v>
      </c>
      <c r="Y87" s="221">
        <v>6.755575527840298</v>
      </c>
      <c r="Z87" s="221">
        <v>7.2238116909810177</v>
      </c>
      <c r="AA87" s="221">
        <v>7.7712893987202998</v>
      </c>
      <c r="AB87" s="221">
        <v>7.7029871566903694</v>
      </c>
      <c r="AC87" s="221">
        <v>7.6023057166560326</v>
      </c>
      <c r="AD87" s="221">
        <v>7.532755583413854</v>
      </c>
      <c r="AE87" s="221">
        <v>7.468689738380256</v>
      </c>
      <c r="AF87" s="221">
        <v>7.4144812718973121</v>
      </c>
      <c r="AG87" s="221">
        <v>7.3732903298626011</v>
      </c>
    </row>
    <row r="88" spans="1:62" x14ac:dyDescent="0.25">
      <c r="A88" s="204" t="s">
        <v>348</v>
      </c>
      <c r="B88" s="204" t="s">
        <v>349</v>
      </c>
      <c r="C88" s="204" t="s">
        <v>344</v>
      </c>
      <c r="D88" s="204" t="s">
        <v>7</v>
      </c>
      <c r="E88" s="204" t="s">
        <v>216</v>
      </c>
      <c r="F88" s="221">
        <v>4.8033468365542245</v>
      </c>
      <c r="G88" s="221">
        <v>4.3437181633597532</v>
      </c>
      <c r="H88" s="221">
        <v>2.3249833482984199</v>
      </c>
      <c r="I88" s="221">
        <v>2.5850171660608443</v>
      </c>
      <c r="J88" s="221">
        <v>2.7074263332588759</v>
      </c>
      <c r="K88" s="221">
        <v>3.1295290464400738</v>
      </c>
      <c r="L88" s="221">
        <v>3.1773614746198322</v>
      </c>
      <c r="M88" s="221">
        <v>3.3422024323775528</v>
      </c>
      <c r="N88" s="221">
        <v>3.4361748782447572</v>
      </c>
      <c r="O88" s="221">
        <v>3.6226506890593781</v>
      </c>
      <c r="P88" s="221">
        <v>3.9077423577723116</v>
      </c>
      <c r="Q88" s="221">
        <v>4.4326509145273008</v>
      </c>
      <c r="R88" s="221">
        <v>5.6978545733582369</v>
      </c>
      <c r="S88" s="221">
        <v>6.2763836217800275</v>
      </c>
      <c r="T88" s="221">
        <v>6.3192449319757609</v>
      </c>
      <c r="U88" s="221">
        <v>6.7161630770221912</v>
      </c>
      <c r="V88" s="221">
        <v>6.9787293302309026</v>
      </c>
      <c r="W88" s="221">
        <v>6.7671445592426567</v>
      </c>
      <c r="X88" s="221">
        <v>6.9270966823013316</v>
      </c>
      <c r="Y88" s="221">
        <v>6.755575527840298</v>
      </c>
      <c r="Z88" s="221">
        <v>7.2238116909810177</v>
      </c>
      <c r="AA88" s="221">
        <v>7.7712893987202998</v>
      </c>
      <c r="AB88" s="221">
        <v>7.7029871566903694</v>
      </c>
      <c r="AC88" s="221">
        <v>7.6023057166560326</v>
      </c>
      <c r="AD88" s="221">
        <v>7.532755583413854</v>
      </c>
      <c r="AE88" s="221">
        <v>7.468689738380256</v>
      </c>
      <c r="AF88" s="221">
        <v>7.4144812718973121</v>
      </c>
      <c r="AG88" s="221">
        <v>7.3732903298626011</v>
      </c>
    </row>
    <row r="89" spans="1:62" x14ac:dyDescent="0.25">
      <c r="A89" s="204" t="s">
        <v>348</v>
      </c>
      <c r="B89" s="204" t="s">
        <v>349</v>
      </c>
      <c r="C89" s="204" t="s">
        <v>345</v>
      </c>
      <c r="D89" s="204" t="s">
        <v>7</v>
      </c>
      <c r="E89" s="204" t="s">
        <v>220</v>
      </c>
      <c r="F89" s="221">
        <v>4.8033468365542245</v>
      </c>
      <c r="G89" s="221">
        <v>4.3437181633597532</v>
      </c>
      <c r="H89" s="221">
        <v>2.3249833482984199</v>
      </c>
      <c r="I89" s="221">
        <v>2.5850171660608443</v>
      </c>
      <c r="J89" s="221">
        <v>2.7074263332588759</v>
      </c>
      <c r="K89" s="221">
        <v>3.1295290464400738</v>
      </c>
      <c r="L89" s="221">
        <v>3.1773614746198322</v>
      </c>
      <c r="M89" s="221">
        <v>3.3422024323775528</v>
      </c>
      <c r="N89" s="221">
        <v>3.4361748782447572</v>
      </c>
      <c r="O89" s="221">
        <v>3.6226506890593781</v>
      </c>
      <c r="P89" s="221">
        <v>3.9077423577723116</v>
      </c>
      <c r="Q89" s="221">
        <v>4.4326509145273008</v>
      </c>
      <c r="R89" s="221">
        <v>5.6978545733582369</v>
      </c>
      <c r="S89" s="221">
        <v>6.2763836217800275</v>
      </c>
      <c r="T89" s="221">
        <v>6.3192449319757609</v>
      </c>
      <c r="U89" s="221">
        <v>6.7161630770221912</v>
      </c>
      <c r="V89" s="221">
        <v>6.9787293302309026</v>
      </c>
      <c r="W89" s="221">
        <v>6.7671445592426567</v>
      </c>
      <c r="X89" s="221">
        <v>6.9270966823013316</v>
      </c>
      <c r="Y89" s="221">
        <v>6.755575527840298</v>
      </c>
      <c r="Z89" s="221">
        <v>7.2238116909810177</v>
      </c>
      <c r="AA89" s="221">
        <v>7.7712893987202998</v>
      </c>
      <c r="AB89" s="221">
        <v>7.7029871566903694</v>
      </c>
      <c r="AC89" s="221">
        <v>7.6023057166560326</v>
      </c>
      <c r="AD89" s="221">
        <v>7.532755583413854</v>
      </c>
      <c r="AE89" s="221">
        <v>7.468689738380256</v>
      </c>
      <c r="AF89" s="221">
        <v>7.4144812718973121</v>
      </c>
      <c r="AG89" s="221">
        <v>7.3732903298626011</v>
      </c>
    </row>
    <row r="90" spans="1:62" x14ac:dyDescent="0.25">
      <c r="A90" s="204" t="s">
        <v>348</v>
      </c>
      <c r="B90" s="204" t="s">
        <v>349</v>
      </c>
      <c r="C90" s="204" t="s">
        <v>346</v>
      </c>
      <c r="D90" s="204" t="s">
        <v>7</v>
      </c>
      <c r="E90" s="204" t="s">
        <v>224</v>
      </c>
      <c r="F90" s="221">
        <v>5.0049688025330443</v>
      </c>
      <c r="G90" s="221">
        <v>4.7966727311967334</v>
      </c>
      <c r="H90" s="221">
        <v>0</v>
      </c>
      <c r="I90" s="221">
        <v>0</v>
      </c>
      <c r="J90" s="221">
        <v>0</v>
      </c>
      <c r="K90" s="221">
        <v>0</v>
      </c>
      <c r="L90" s="221">
        <v>0</v>
      </c>
      <c r="M90" s="221">
        <v>0</v>
      </c>
      <c r="N90" s="221">
        <v>0</v>
      </c>
      <c r="O90" s="221">
        <v>0</v>
      </c>
      <c r="P90" s="221">
        <v>0</v>
      </c>
      <c r="Q90" s="221">
        <v>0</v>
      </c>
      <c r="R90" s="221">
        <v>0</v>
      </c>
      <c r="S90" s="221">
        <v>0</v>
      </c>
      <c r="T90" s="221">
        <v>0</v>
      </c>
      <c r="U90" s="221">
        <v>0</v>
      </c>
      <c r="V90" s="221">
        <v>0</v>
      </c>
      <c r="W90" s="221">
        <v>0</v>
      </c>
      <c r="X90" s="221">
        <v>0</v>
      </c>
      <c r="Y90" s="221">
        <v>0</v>
      </c>
      <c r="Z90" s="221">
        <v>0</v>
      </c>
      <c r="AA90" s="221">
        <v>0</v>
      </c>
      <c r="AB90" s="221">
        <v>0</v>
      </c>
      <c r="AC90" s="221">
        <v>0</v>
      </c>
      <c r="AD90" s="221">
        <v>0</v>
      </c>
      <c r="AE90" s="221">
        <v>0</v>
      </c>
      <c r="AF90" s="221">
        <v>0</v>
      </c>
      <c r="AG90" s="221">
        <v>0</v>
      </c>
    </row>
    <row r="91" spans="1:62" x14ac:dyDescent="0.25">
      <c r="A91" s="204" t="s">
        <v>348</v>
      </c>
      <c r="B91" s="204" t="s">
        <v>349</v>
      </c>
      <c r="C91" s="204" t="s">
        <v>347</v>
      </c>
      <c r="D91" s="204" t="s">
        <v>7</v>
      </c>
      <c r="E91" s="204" t="s">
        <v>228</v>
      </c>
      <c r="F91" s="221">
        <v>6.7365456868217271</v>
      </c>
      <c r="G91" s="221">
        <v>4.6573020949392019</v>
      </c>
      <c r="H91" s="221">
        <v>0</v>
      </c>
      <c r="I91" s="221">
        <v>0</v>
      </c>
      <c r="J91" s="221">
        <v>0</v>
      </c>
      <c r="K91" s="221">
        <v>0</v>
      </c>
      <c r="L91" s="221">
        <v>0</v>
      </c>
      <c r="M91" s="221">
        <v>0</v>
      </c>
      <c r="N91" s="221">
        <v>0</v>
      </c>
      <c r="O91" s="221">
        <v>0</v>
      </c>
      <c r="P91" s="221">
        <v>0</v>
      </c>
      <c r="Q91" s="221">
        <v>0</v>
      </c>
      <c r="R91" s="221">
        <v>0</v>
      </c>
      <c r="S91" s="221">
        <v>0</v>
      </c>
      <c r="T91" s="221">
        <v>0</v>
      </c>
      <c r="U91" s="221">
        <v>0</v>
      </c>
      <c r="V91" s="221">
        <v>0</v>
      </c>
      <c r="W91" s="221">
        <v>0</v>
      </c>
      <c r="X91" s="221">
        <v>0</v>
      </c>
      <c r="Y91" s="221">
        <v>0</v>
      </c>
      <c r="Z91" s="221">
        <v>0</v>
      </c>
      <c r="AA91" s="221">
        <v>0</v>
      </c>
      <c r="AB91" s="221">
        <v>0</v>
      </c>
      <c r="AC91" s="221">
        <v>0</v>
      </c>
      <c r="AD91" s="221">
        <v>0</v>
      </c>
      <c r="AE91" s="221">
        <v>0</v>
      </c>
      <c r="AF91" s="221">
        <v>0</v>
      </c>
      <c r="AG91" s="221">
        <v>0</v>
      </c>
    </row>
    <row r="93" spans="1:62" x14ac:dyDescent="0.25">
      <c r="A93" s="204" t="s">
        <v>309</v>
      </c>
      <c r="B93" s="204" t="s">
        <v>310</v>
      </c>
      <c r="C93" s="204" t="s">
        <v>350</v>
      </c>
      <c r="D93" s="204" t="s">
        <v>351</v>
      </c>
      <c r="E93" s="204" t="s">
        <v>312</v>
      </c>
      <c r="F93" s="219">
        <v>2023</v>
      </c>
      <c r="G93" s="219">
        <v>2024</v>
      </c>
      <c r="H93" s="219">
        <v>2025</v>
      </c>
      <c r="I93" s="219">
        <v>2026</v>
      </c>
      <c r="J93" s="219">
        <v>2027</v>
      </c>
      <c r="K93" s="219">
        <v>2028</v>
      </c>
      <c r="L93" s="219">
        <v>2029</v>
      </c>
      <c r="M93" s="219">
        <v>2030</v>
      </c>
      <c r="N93" s="219">
        <v>2031</v>
      </c>
      <c r="O93" s="219">
        <v>2032</v>
      </c>
      <c r="P93" s="219">
        <v>2033</v>
      </c>
      <c r="Q93" s="219">
        <v>2034</v>
      </c>
      <c r="R93" s="219">
        <v>2035</v>
      </c>
      <c r="S93" s="219">
        <v>2036</v>
      </c>
      <c r="T93" s="219">
        <v>2037</v>
      </c>
      <c r="U93" s="219">
        <v>2038</v>
      </c>
      <c r="V93" s="219">
        <v>2039</v>
      </c>
      <c r="W93" s="219">
        <v>2040</v>
      </c>
      <c r="X93" s="219">
        <v>2041</v>
      </c>
      <c r="Y93" s="219">
        <v>2042</v>
      </c>
      <c r="Z93" s="219">
        <v>2043</v>
      </c>
      <c r="AA93" s="219">
        <v>2044</v>
      </c>
      <c r="AB93" s="219">
        <v>2045</v>
      </c>
      <c r="AC93" s="219">
        <v>2046</v>
      </c>
      <c r="AD93" s="219">
        <v>2047</v>
      </c>
      <c r="AE93" s="219">
        <v>2048</v>
      </c>
      <c r="AF93" s="219">
        <v>2049</v>
      </c>
      <c r="AG93" s="219">
        <v>2050</v>
      </c>
    </row>
    <row r="94" spans="1:62" x14ac:dyDescent="0.25">
      <c r="A94" s="204" t="s">
        <v>189</v>
      </c>
      <c r="B94" s="204" t="s">
        <v>352</v>
      </c>
      <c r="C94" s="204" t="s">
        <v>353</v>
      </c>
      <c r="D94" s="204" t="s">
        <v>354</v>
      </c>
      <c r="E94" s="204" t="s">
        <v>315</v>
      </c>
      <c r="F94" s="223">
        <v>138.11687980794045</v>
      </c>
      <c r="G94" s="223">
        <v>139.05725358330042</v>
      </c>
      <c r="H94" s="223">
        <v>138.55977880470041</v>
      </c>
      <c r="I94" s="223">
        <v>141.17135012676042</v>
      </c>
      <c r="J94" s="223">
        <v>140.94990062838042</v>
      </c>
      <c r="K94" s="223">
        <v>138.11687980794045</v>
      </c>
      <c r="L94" s="223">
        <v>138.83580408492043</v>
      </c>
      <c r="M94" s="223">
        <v>139.05725358330042</v>
      </c>
      <c r="N94" s="223">
        <v>138.55977880470041</v>
      </c>
      <c r="O94" s="223">
        <v>140.94990062838042</v>
      </c>
      <c r="P94" s="223">
        <v>138.11687980794045</v>
      </c>
      <c r="Q94" s="223">
        <v>138.11687980794045</v>
      </c>
      <c r="R94" s="223">
        <v>138.83580408492043</v>
      </c>
      <c r="S94" s="223">
        <v>138.55977880470041</v>
      </c>
      <c r="T94" s="223">
        <v>141.17135012676042</v>
      </c>
      <c r="U94" s="223">
        <v>140.94990062838042</v>
      </c>
      <c r="V94" s="223">
        <v>138.11687980794045</v>
      </c>
      <c r="W94" s="223">
        <v>138.83580408492043</v>
      </c>
      <c r="X94" s="223">
        <v>139.05725358330042</v>
      </c>
      <c r="Y94" s="223">
        <v>138.55977880470041</v>
      </c>
      <c r="Z94" s="223">
        <v>141.17135012676042</v>
      </c>
      <c r="AA94" s="223">
        <v>138.11687980794045</v>
      </c>
      <c r="AB94" s="223">
        <v>138.11687980794045</v>
      </c>
      <c r="AC94" s="223">
        <v>138.83580408492043</v>
      </c>
      <c r="AD94" s="223">
        <v>139.05725358330042</v>
      </c>
      <c r="AE94" s="223">
        <v>141.17135012676042</v>
      </c>
      <c r="AF94" s="223">
        <v>140.94990062838042</v>
      </c>
      <c r="AG94" s="223">
        <v>138.11687980794045</v>
      </c>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row>
    <row r="95" spans="1:62" x14ac:dyDescent="0.25">
      <c r="A95" s="204" t="s">
        <v>189</v>
      </c>
      <c r="B95" s="204" t="s">
        <v>352</v>
      </c>
      <c r="C95" s="204" t="s">
        <v>355</v>
      </c>
      <c r="D95" s="204" t="s">
        <v>354</v>
      </c>
      <c r="E95" s="204" t="s">
        <v>316</v>
      </c>
      <c r="F95" s="223">
        <v>134.12239385964028</v>
      </c>
      <c r="G95" s="223">
        <v>134.74822641816019</v>
      </c>
      <c r="H95" s="223">
        <v>134.39756087508025</v>
      </c>
      <c r="I95" s="223">
        <v>136.8571506001802</v>
      </c>
      <c r="J95" s="223">
        <v>136.71956709246021</v>
      </c>
      <c r="K95" s="223">
        <v>134.12239385964028</v>
      </c>
      <c r="L95" s="223">
        <v>134.61064291044022</v>
      </c>
      <c r="M95" s="223">
        <v>134.74822641816019</v>
      </c>
      <c r="N95" s="223">
        <v>134.39756087508025</v>
      </c>
      <c r="O95" s="223">
        <v>136.71956709246021</v>
      </c>
      <c r="P95" s="223">
        <v>134.12239385964028</v>
      </c>
      <c r="Q95" s="223">
        <v>134.12239385964028</v>
      </c>
      <c r="R95" s="223">
        <v>134.61064291044022</v>
      </c>
      <c r="S95" s="223">
        <v>134.39756087508025</v>
      </c>
      <c r="T95" s="223">
        <v>136.8571506001802</v>
      </c>
      <c r="U95" s="223">
        <v>136.71956709246021</v>
      </c>
      <c r="V95" s="223">
        <v>134.12239385964028</v>
      </c>
      <c r="W95" s="223">
        <v>134.61064291044022</v>
      </c>
      <c r="X95" s="223">
        <v>134.74822641816019</v>
      </c>
      <c r="Y95" s="223">
        <v>134.39756087508025</v>
      </c>
      <c r="Z95" s="223">
        <v>136.8571506001802</v>
      </c>
      <c r="AA95" s="223">
        <v>134.12239385964028</v>
      </c>
      <c r="AB95" s="223">
        <v>134.12239385964028</v>
      </c>
      <c r="AC95" s="223">
        <v>134.61064291044022</v>
      </c>
      <c r="AD95" s="223">
        <v>134.74822641816019</v>
      </c>
      <c r="AE95" s="223">
        <v>136.8571506001802</v>
      </c>
      <c r="AF95" s="223">
        <v>136.71956709246021</v>
      </c>
      <c r="AG95" s="223">
        <v>134.12239385964028</v>
      </c>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row>
    <row r="96" spans="1:62" x14ac:dyDescent="0.25">
      <c r="A96" s="204" t="s">
        <v>189</v>
      </c>
      <c r="B96" s="204" t="s">
        <v>352</v>
      </c>
      <c r="C96" s="204" t="s">
        <v>356</v>
      </c>
      <c r="D96" s="204" t="s">
        <v>354</v>
      </c>
      <c r="E96" s="204" t="s">
        <v>317</v>
      </c>
      <c r="F96" s="223">
        <v>117.14509398754028</v>
      </c>
      <c r="G96" s="223">
        <v>117.85942407892028</v>
      </c>
      <c r="H96" s="223">
        <v>117.6801018718203</v>
      </c>
      <c r="I96" s="223">
        <v>119.89710939954028</v>
      </c>
      <c r="J96" s="223">
        <v>119.6296054574003</v>
      </c>
      <c r="K96" s="223">
        <v>117.14509398754028</v>
      </c>
      <c r="L96" s="223">
        <v>117.59192013678027</v>
      </c>
      <c r="M96" s="223">
        <v>117.85942407892028</v>
      </c>
      <c r="N96" s="223">
        <v>117.6801018718203</v>
      </c>
      <c r="O96" s="223">
        <v>119.6296054574003</v>
      </c>
      <c r="P96" s="223">
        <v>117.14509398754028</v>
      </c>
      <c r="Q96" s="223">
        <v>117.14509398754028</v>
      </c>
      <c r="R96" s="223">
        <v>117.59192013678027</v>
      </c>
      <c r="S96" s="223">
        <v>117.6801018718203</v>
      </c>
      <c r="T96" s="223">
        <v>119.89710939954028</v>
      </c>
      <c r="U96" s="223">
        <v>119.6296054574003</v>
      </c>
      <c r="V96" s="223">
        <v>117.14509398754028</v>
      </c>
      <c r="W96" s="223">
        <v>117.59192013678027</v>
      </c>
      <c r="X96" s="223">
        <v>117.85942407892028</v>
      </c>
      <c r="Y96" s="223">
        <v>117.6801018718203</v>
      </c>
      <c r="Z96" s="223">
        <v>119.89710939954028</v>
      </c>
      <c r="AA96" s="223">
        <v>117.14509398754028</v>
      </c>
      <c r="AB96" s="223">
        <v>117.14509398754028</v>
      </c>
      <c r="AC96" s="223">
        <v>117.59192013678027</v>
      </c>
      <c r="AD96" s="223">
        <v>117.85942407892028</v>
      </c>
      <c r="AE96" s="223">
        <v>119.89710939954028</v>
      </c>
      <c r="AF96" s="223">
        <v>119.6296054574003</v>
      </c>
      <c r="AG96" s="223">
        <v>117.14509398754028</v>
      </c>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row>
    <row r="97" spans="1:62" x14ac:dyDescent="0.25">
      <c r="A97" s="204" t="s">
        <v>189</v>
      </c>
      <c r="B97" s="204" t="s">
        <v>352</v>
      </c>
      <c r="C97" s="204" t="s">
        <v>357</v>
      </c>
      <c r="D97" s="204" t="s">
        <v>354</v>
      </c>
      <c r="E97" s="204" t="s">
        <v>318</v>
      </c>
      <c r="F97" s="223">
        <v>117.83058588726006</v>
      </c>
      <c r="G97" s="223">
        <v>118.68496196939998</v>
      </c>
      <c r="H97" s="223">
        <v>118.37014310898007</v>
      </c>
      <c r="I97" s="223">
        <v>120.62897438226008</v>
      </c>
      <c r="J97" s="223">
        <v>120.35919577139998</v>
      </c>
      <c r="K97" s="223">
        <v>117.83058588726006</v>
      </c>
      <c r="L97" s="223">
        <v>118.41518335854005</v>
      </c>
      <c r="M97" s="223">
        <v>118.68496196939998</v>
      </c>
      <c r="N97" s="223">
        <v>118.37014310898007</v>
      </c>
      <c r="O97" s="223">
        <v>120.35919577139998</v>
      </c>
      <c r="P97" s="223">
        <v>117.83058588726006</v>
      </c>
      <c r="Q97" s="223">
        <v>117.83058588726006</v>
      </c>
      <c r="R97" s="223">
        <v>118.41518335854005</v>
      </c>
      <c r="S97" s="223">
        <v>118.37014310898007</v>
      </c>
      <c r="T97" s="223">
        <v>120.62897438226008</v>
      </c>
      <c r="U97" s="223">
        <v>120.35919577139998</v>
      </c>
      <c r="V97" s="223">
        <v>117.83058588726006</v>
      </c>
      <c r="W97" s="223">
        <v>118.41518335854005</v>
      </c>
      <c r="X97" s="223">
        <v>118.68496196939998</v>
      </c>
      <c r="Y97" s="223">
        <v>118.37014310898007</v>
      </c>
      <c r="Z97" s="223">
        <v>120.62897438226008</v>
      </c>
      <c r="AA97" s="223">
        <v>117.83058588726006</v>
      </c>
      <c r="AB97" s="223">
        <v>117.83058588726006</v>
      </c>
      <c r="AC97" s="223">
        <v>118.41518335854005</v>
      </c>
      <c r="AD97" s="223">
        <v>118.68496196939998</v>
      </c>
      <c r="AE97" s="223">
        <v>120.62897438226008</v>
      </c>
      <c r="AF97" s="223">
        <v>120.35919577139998</v>
      </c>
      <c r="AG97" s="223">
        <v>117.83058588726006</v>
      </c>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row>
    <row r="98" spans="1:62" x14ac:dyDescent="0.25">
      <c r="A98" s="204" t="s">
        <v>189</v>
      </c>
      <c r="B98" s="204" t="s">
        <v>352</v>
      </c>
      <c r="C98" s="204" t="s">
        <v>358</v>
      </c>
      <c r="D98" s="204" t="s">
        <v>354</v>
      </c>
      <c r="E98" s="204" t="s">
        <v>319</v>
      </c>
      <c r="F98" s="223">
        <v>117.14509398754028</v>
      </c>
      <c r="G98" s="223">
        <v>117.85942407892028</v>
      </c>
      <c r="H98" s="223">
        <v>117.6801018718203</v>
      </c>
      <c r="I98" s="223">
        <v>119.89710939954028</v>
      </c>
      <c r="J98" s="223">
        <v>119.6296054574003</v>
      </c>
      <c r="K98" s="223">
        <v>117.14509398754028</v>
      </c>
      <c r="L98" s="223">
        <v>117.59192013678027</v>
      </c>
      <c r="M98" s="223">
        <v>117.85942407892028</v>
      </c>
      <c r="N98" s="223">
        <v>117.6801018718203</v>
      </c>
      <c r="O98" s="223">
        <v>119.6296054574003</v>
      </c>
      <c r="P98" s="223">
        <v>117.14509398754028</v>
      </c>
      <c r="Q98" s="223">
        <v>117.14509398754028</v>
      </c>
      <c r="R98" s="223">
        <v>117.59192013678027</v>
      </c>
      <c r="S98" s="223">
        <v>117.6801018718203</v>
      </c>
      <c r="T98" s="223">
        <v>119.89710939954028</v>
      </c>
      <c r="U98" s="223">
        <v>119.6296054574003</v>
      </c>
      <c r="V98" s="223">
        <v>117.14509398754028</v>
      </c>
      <c r="W98" s="223">
        <v>117.59192013678027</v>
      </c>
      <c r="X98" s="223">
        <v>117.85942407892028</v>
      </c>
      <c r="Y98" s="223">
        <v>117.6801018718203</v>
      </c>
      <c r="Z98" s="223">
        <v>119.89710939954028</v>
      </c>
      <c r="AA98" s="223">
        <v>117.14509398754028</v>
      </c>
      <c r="AB98" s="223">
        <v>117.14509398754028</v>
      </c>
      <c r="AC98" s="223">
        <v>117.59192013678027</v>
      </c>
      <c r="AD98" s="223">
        <v>117.85942407892028</v>
      </c>
      <c r="AE98" s="223">
        <v>119.89710939954028</v>
      </c>
      <c r="AF98" s="223">
        <v>119.6296054574003</v>
      </c>
      <c r="AG98" s="223">
        <v>117.14509398754028</v>
      </c>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row>
    <row r="99" spans="1:62" x14ac:dyDescent="0.25">
      <c r="A99" s="204" t="s">
        <v>189</v>
      </c>
      <c r="B99" s="204" t="s">
        <v>352</v>
      </c>
      <c r="C99" s="204" t="s">
        <v>359</v>
      </c>
      <c r="D99" s="204" t="s">
        <v>354</v>
      </c>
      <c r="E99" s="204" t="s">
        <v>320</v>
      </c>
      <c r="F99" s="223">
        <v>117.35800120817981</v>
      </c>
      <c r="G99" s="223">
        <v>118.11374065457993</v>
      </c>
      <c r="H99" s="223">
        <v>117.76040633777986</v>
      </c>
      <c r="I99" s="223">
        <v>119.97785144003991</v>
      </c>
      <c r="J99" s="223">
        <v>119.7766488752399</v>
      </c>
      <c r="K99" s="223">
        <v>117.35800120817981</v>
      </c>
      <c r="L99" s="223">
        <v>117.91253808977993</v>
      </c>
      <c r="M99" s="223">
        <v>118.11374065457993</v>
      </c>
      <c r="N99" s="223">
        <v>117.76040633777986</v>
      </c>
      <c r="O99" s="223">
        <v>119.7766488752399</v>
      </c>
      <c r="P99" s="223">
        <v>117.35800120817981</v>
      </c>
      <c r="Q99" s="223">
        <v>117.35800120817981</v>
      </c>
      <c r="R99" s="223">
        <v>117.91253808977993</v>
      </c>
      <c r="S99" s="223">
        <v>117.76040633777986</v>
      </c>
      <c r="T99" s="223">
        <v>119.97785144003991</v>
      </c>
      <c r="U99" s="223">
        <v>119.7766488752399</v>
      </c>
      <c r="V99" s="223">
        <v>117.35800120817981</v>
      </c>
      <c r="W99" s="223">
        <v>117.91253808977993</v>
      </c>
      <c r="X99" s="223">
        <v>118.11374065457993</v>
      </c>
      <c r="Y99" s="223">
        <v>117.76040633777986</v>
      </c>
      <c r="Z99" s="223">
        <v>119.97785144003991</v>
      </c>
      <c r="AA99" s="223">
        <v>117.35800120817981</v>
      </c>
      <c r="AB99" s="223">
        <v>117.35800120817981</v>
      </c>
      <c r="AC99" s="223">
        <v>117.91253808977993</v>
      </c>
      <c r="AD99" s="223">
        <v>118.11374065457993</v>
      </c>
      <c r="AE99" s="223">
        <v>119.97785144003991</v>
      </c>
      <c r="AF99" s="223">
        <v>119.7766488752399</v>
      </c>
      <c r="AG99" s="223">
        <v>117.35800120817981</v>
      </c>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row>
    <row r="100" spans="1:62" x14ac:dyDescent="0.25">
      <c r="A100" s="204" t="s">
        <v>189</v>
      </c>
      <c r="B100" s="204" t="s">
        <v>352</v>
      </c>
      <c r="C100" s="204" t="s">
        <v>360</v>
      </c>
      <c r="D100" s="204" t="s">
        <v>354</v>
      </c>
      <c r="E100" s="204" t="s">
        <v>321</v>
      </c>
      <c r="F100" s="223">
        <v>115.29284245103989</v>
      </c>
      <c r="G100" s="223">
        <v>116.04477078731989</v>
      </c>
      <c r="H100" s="223">
        <v>115.67832042473991</v>
      </c>
      <c r="I100" s="223">
        <v>117.8527350314699</v>
      </c>
      <c r="J100" s="223">
        <v>117.6599960446199</v>
      </c>
      <c r="K100" s="223">
        <v>115.29284245103989</v>
      </c>
      <c r="L100" s="223">
        <v>115.85203180046987</v>
      </c>
      <c r="M100" s="223">
        <v>116.04477078731989</v>
      </c>
      <c r="N100" s="223">
        <v>115.67832042473991</v>
      </c>
      <c r="O100" s="223">
        <v>117.6599960446199</v>
      </c>
      <c r="P100" s="223">
        <v>115.29284245103989</v>
      </c>
      <c r="Q100" s="223">
        <v>115.29284245103989</v>
      </c>
      <c r="R100" s="223">
        <v>115.85203180046987</v>
      </c>
      <c r="S100" s="223">
        <v>115.67832042473991</v>
      </c>
      <c r="T100" s="223">
        <v>117.8527350314699</v>
      </c>
      <c r="U100" s="223">
        <v>117.6599960446199</v>
      </c>
      <c r="V100" s="223">
        <v>115.29284245103989</v>
      </c>
      <c r="W100" s="223">
        <v>115.85203180046987</v>
      </c>
      <c r="X100" s="223">
        <v>116.04477078731989</v>
      </c>
      <c r="Y100" s="223">
        <v>115.67832042473991</v>
      </c>
      <c r="Z100" s="223">
        <v>117.8527350314699</v>
      </c>
      <c r="AA100" s="223">
        <v>115.29284245103989</v>
      </c>
      <c r="AB100" s="223">
        <v>115.29284245103989</v>
      </c>
      <c r="AC100" s="223">
        <v>115.85203180046987</v>
      </c>
      <c r="AD100" s="223">
        <v>116.04477078731989</v>
      </c>
      <c r="AE100" s="223">
        <v>117.8527350314699</v>
      </c>
      <c r="AF100" s="223">
        <v>117.6599960446199</v>
      </c>
      <c r="AG100" s="223">
        <v>115.29284245103989</v>
      </c>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row>
    <row r="101" spans="1:62" x14ac:dyDescent="0.25">
      <c r="A101" s="204" t="s">
        <v>189</v>
      </c>
      <c r="B101" s="204" t="s">
        <v>352</v>
      </c>
      <c r="C101" s="204" t="s">
        <v>361</v>
      </c>
      <c r="D101" s="204" t="s">
        <v>193</v>
      </c>
      <c r="E101" s="204" t="s">
        <v>322</v>
      </c>
      <c r="F101" s="223">
        <v>162.35519225796006</v>
      </c>
      <c r="G101" s="223">
        <v>162.85447603163993</v>
      </c>
      <c r="H101" s="223">
        <v>162.45749437104001</v>
      </c>
      <c r="I101" s="223">
        <v>165.37481851379994</v>
      </c>
      <c r="J101" s="223">
        <v>165.32366745725997</v>
      </c>
      <c r="K101" s="223">
        <v>162.35519225796006</v>
      </c>
      <c r="L101" s="223">
        <v>162.80332497509997</v>
      </c>
      <c r="M101" s="223">
        <v>162.85447603163993</v>
      </c>
      <c r="N101" s="223">
        <v>162.45749437104001</v>
      </c>
      <c r="O101" s="223">
        <v>165.32366745725997</v>
      </c>
      <c r="P101" s="223">
        <v>162.35519225796006</v>
      </c>
      <c r="Q101" s="223">
        <v>162.35519225796006</v>
      </c>
      <c r="R101" s="223">
        <v>162.80332497509997</v>
      </c>
      <c r="S101" s="223">
        <v>162.45749437104001</v>
      </c>
      <c r="T101" s="223">
        <v>165.37481851379994</v>
      </c>
      <c r="U101" s="223">
        <v>165.32366745725997</v>
      </c>
      <c r="V101" s="223">
        <v>162.35519225796006</v>
      </c>
      <c r="W101" s="223">
        <v>162.80332497509997</v>
      </c>
      <c r="X101" s="223">
        <v>162.85447603163993</v>
      </c>
      <c r="Y101" s="223">
        <v>162.45749437104001</v>
      </c>
      <c r="Z101" s="223">
        <v>165.37481851379994</v>
      </c>
      <c r="AA101" s="223">
        <v>162.35519225796006</v>
      </c>
      <c r="AB101" s="223">
        <v>162.35519225796006</v>
      </c>
      <c r="AC101" s="223">
        <v>162.80332497509997</v>
      </c>
      <c r="AD101" s="223">
        <v>162.85447603163993</v>
      </c>
      <c r="AE101" s="223">
        <v>165.37481851379994</v>
      </c>
      <c r="AF101" s="223">
        <v>165.32366745725997</v>
      </c>
      <c r="AG101" s="223">
        <v>162.35519225796006</v>
      </c>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row>
    <row r="102" spans="1:62" x14ac:dyDescent="0.25">
      <c r="A102" s="204" t="s">
        <v>189</v>
      </c>
      <c r="B102" s="204" t="s">
        <v>352</v>
      </c>
      <c r="C102" s="204" t="s">
        <v>362</v>
      </c>
      <c r="D102" s="204" t="s">
        <v>198</v>
      </c>
      <c r="E102" s="204" t="s">
        <v>322</v>
      </c>
      <c r="F102" s="223">
        <v>107.66916685752008</v>
      </c>
      <c r="G102" s="223">
        <v>108.2840969496</v>
      </c>
      <c r="H102" s="223">
        <v>107.96601961248007</v>
      </c>
      <c r="I102" s="223">
        <v>109.96950766830004</v>
      </c>
      <c r="J102" s="223">
        <v>109.82108129082006</v>
      </c>
      <c r="K102" s="223">
        <v>107.66916685752008</v>
      </c>
      <c r="L102" s="223">
        <v>108.13567057212006</v>
      </c>
      <c r="M102" s="223">
        <v>108.2840969496</v>
      </c>
      <c r="N102" s="223">
        <v>107.96601961248007</v>
      </c>
      <c r="O102" s="223">
        <v>109.82108129082006</v>
      </c>
      <c r="P102" s="223">
        <v>107.66916685752008</v>
      </c>
      <c r="Q102" s="223">
        <v>107.66916685752008</v>
      </c>
      <c r="R102" s="223">
        <v>108.13567057212006</v>
      </c>
      <c r="S102" s="223">
        <v>107.96601961248007</v>
      </c>
      <c r="T102" s="223">
        <v>109.96950766830004</v>
      </c>
      <c r="U102" s="223">
        <v>109.82108129082006</v>
      </c>
      <c r="V102" s="223">
        <v>107.66916685752008</v>
      </c>
      <c r="W102" s="223">
        <v>108.13567057212006</v>
      </c>
      <c r="X102" s="223">
        <v>108.2840969496</v>
      </c>
      <c r="Y102" s="223">
        <v>107.96601961248007</v>
      </c>
      <c r="Z102" s="223">
        <v>109.96950766830004</v>
      </c>
      <c r="AA102" s="223">
        <v>107.66916685752008</v>
      </c>
      <c r="AB102" s="223">
        <v>107.66916685752008</v>
      </c>
      <c r="AC102" s="223">
        <v>108.13567057212006</v>
      </c>
      <c r="AD102" s="223">
        <v>108.2840969496</v>
      </c>
      <c r="AE102" s="223">
        <v>109.96950766830004</v>
      </c>
      <c r="AF102" s="223">
        <v>109.82108129082006</v>
      </c>
      <c r="AG102" s="223">
        <v>107.66916685752008</v>
      </c>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row>
    <row r="103" spans="1:62" x14ac:dyDescent="0.25">
      <c r="A103" s="204" t="s">
        <v>189</v>
      </c>
      <c r="B103" s="204" t="s">
        <v>352</v>
      </c>
      <c r="C103" s="204" t="s">
        <v>363</v>
      </c>
      <c r="D103" s="204" t="s">
        <v>203</v>
      </c>
      <c r="E103" s="204" t="s">
        <v>322</v>
      </c>
      <c r="F103" s="223">
        <v>45.612700453440034</v>
      </c>
      <c r="G103" s="223">
        <v>46.147270148160032</v>
      </c>
      <c r="H103" s="223">
        <v>45.93140477699999</v>
      </c>
      <c r="I103" s="223">
        <v>46.85149754106002</v>
      </c>
      <c r="J103" s="223">
        <v>46.692145379280028</v>
      </c>
      <c r="K103" s="223">
        <v>45.612700453440034</v>
      </c>
      <c r="L103" s="223">
        <v>45.987917986380033</v>
      </c>
      <c r="M103" s="223">
        <v>46.147270148160032</v>
      </c>
      <c r="N103" s="223">
        <v>45.93140477699999</v>
      </c>
      <c r="O103" s="223">
        <v>46.692145379280028</v>
      </c>
      <c r="P103" s="223">
        <v>45.612700453440034</v>
      </c>
      <c r="Q103" s="223">
        <v>45.612700453440034</v>
      </c>
      <c r="R103" s="223">
        <v>45.987917986380033</v>
      </c>
      <c r="S103" s="223">
        <v>45.93140477699999</v>
      </c>
      <c r="T103" s="223">
        <v>46.85149754106002</v>
      </c>
      <c r="U103" s="223">
        <v>46.692145379280028</v>
      </c>
      <c r="V103" s="223">
        <v>45.612700453440034</v>
      </c>
      <c r="W103" s="223">
        <v>45.987917986380033</v>
      </c>
      <c r="X103" s="223">
        <v>46.147270148160032</v>
      </c>
      <c r="Y103" s="223">
        <v>45.93140477699999</v>
      </c>
      <c r="Z103" s="223">
        <v>46.85149754106002</v>
      </c>
      <c r="AA103" s="223">
        <v>45.612700453440034</v>
      </c>
      <c r="AB103" s="223">
        <v>45.612700453440034</v>
      </c>
      <c r="AC103" s="223">
        <v>45.987917986380033</v>
      </c>
      <c r="AD103" s="223">
        <v>46.147270148160032</v>
      </c>
      <c r="AE103" s="223">
        <v>46.85149754106002</v>
      </c>
      <c r="AF103" s="223">
        <v>46.692145379280028</v>
      </c>
      <c r="AG103" s="223">
        <v>45.612700453440034</v>
      </c>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row>
    <row r="104" spans="1:62" x14ac:dyDescent="0.25">
      <c r="A104" s="204" t="s">
        <v>189</v>
      </c>
      <c r="B104" s="204" t="s">
        <v>352</v>
      </c>
      <c r="C104" s="204" t="s">
        <v>364</v>
      </c>
      <c r="D104" s="204" t="s">
        <v>207</v>
      </c>
      <c r="E104" s="204" t="s">
        <v>322</v>
      </c>
      <c r="F104" s="223">
        <v>0.90076467036000107</v>
      </c>
      <c r="G104" s="223">
        <v>0.95017181814000096</v>
      </c>
      <c r="H104" s="223">
        <v>0.94207201992000089</v>
      </c>
      <c r="I104" s="223">
        <v>0.97082549292000087</v>
      </c>
      <c r="J104" s="223">
        <v>0.95017181814000096</v>
      </c>
      <c r="K104" s="223">
        <v>0.90076467036000107</v>
      </c>
      <c r="L104" s="223">
        <v>0.92951814336000105</v>
      </c>
      <c r="M104" s="223">
        <v>0.95017181814000096</v>
      </c>
      <c r="N104" s="223">
        <v>0.94207201992000089</v>
      </c>
      <c r="O104" s="223">
        <v>0.95017181814000096</v>
      </c>
      <c r="P104" s="223">
        <v>0.90076467036000107</v>
      </c>
      <c r="Q104" s="223">
        <v>0.90076467036000107</v>
      </c>
      <c r="R104" s="223">
        <v>0.92951814336000105</v>
      </c>
      <c r="S104" s="223">
        <v>0.94207201992000089</v>
      </c>
      <c r="T104" s="223">
        <v>0.97082549292000087</v>
      </c>
      <c r="U104" s="223">
        <v>0.95017181814000096</v>
      </c>
      <c r="V104" s="223">
        <v>0.90076467036000107</v>
      </c>
      <c r="W104" s="223">
        <v>0.92951814336000105</v>
      </c>
      <c r="X104" s="223">
        <v>0.95017181814000096</v>
      </c>
      <c r="Y104" s="223">
        <v>0.94207201992000089</v>
      </c>
      <c r="Z104" s="223">
        <v>0.97082549292000087</v>
      </c>
      <c r="AA104" s="223">
        <v>0.90076467036000107</v>
      </c>
      <c r="AB104" s="223">
        <v>0.90076467036000107</v>
      </c>
      <c r="AC104" s="223">
        <v>0.92951814336000105</v>
      </c>
      <c r="AD104" s="223">
        <v>0.95017181814000096</v>
      </c>
      <c r="AE104" s="223">
        <v>0.97082549292000087</v>
      </c>
      <c r="AF104" s="223">
        <v>0.95017181814000096</v>
      </c>
      <c r="AG104" s="223">
        <v>0.90076467036000107</v>
      </c>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row>
    <row r="105" spans="1:62" x14ac:dyDescent="0.25">
      <c r="A105" s="204" t="s">
        <v>189</v>
      </c>
      <c r="B105" s="204" t="s">
        <v>352</v>
      </c>
      <c r="C105" s="204" t="s">
        <v>365</v>
      </c>
      <c r="D105" s="204" t="s">
        <v>354</v>
      </c>
      <c r="E105" s="204" t="s">
        <v>322</v>
      </c>
      <c r="F105" s="223">
        <v>113.22768369389979</v>
      </c>
      <c r="G105" s="223">
        <v>113.9758009200598</v>
      </c>
      <c r="H105" s="223">
        <v>113.59623451169981</v>
      </c>
      <c r="I105" s="223">
        <v>115.7276186228998</v>
      </c>
      <c r="J105" s="223">
        <v>115.54334321399998</v>
      </c>
      <c r="K105" s="223">
        <v>113.22768369389979</v>
      </c>
      <c r="L105" s="223">
        <v>113.79152551115979</v>
      </c>
      <c r="M105" s="223">
        <v>113.9758009200598</v>
      </c>
      <c r="N105" s="223">
        <v>113.59623451169981</v>
      </c>
      <c r="O105" s="223">
        <v>115.54334321399998</v>
      </c>
      <c r="P105" s="223">
        <v>113.22768369389979</v>
      </c>
      <c r="Q105" s="223">
        <v>113.22768369389979</v>
      </c>
      <c r="R105" s="223">
        <v>113.79152551115979</v>
      </c>
      <c r="S105" s="223">
        <v>113.59623451169981</v>
      </c>
      <c r="T105" s="223">
        <v>115.7276186228998</v>
      </c>
      <c r="U105" s="223">
        <v>115.54334321399998</v>
      </c>
      <c r="V105" s="223">
        <v>113.22768369389979</v>
      </c>
      <c r="W105" s="223">
        <v>113.79152551115979</v>
      </c>
      <c r="X105" s="223">
        <v>113.9758009200598</v>
      </c>
      <c r="Y105" s="223">
        <v>113.59623451169981</v>
      </c>
      <c r="Z105" s="223">
        <v>115.7276186228998</v>
      </c>
      <c r="AA105" s="223">
        <v>113.22768369389979</v>
      </c>
      <c r="AB105" s="223">
        <v>113.22768369389979</v>
      </c>
      <c r="AC105" s="223">
        <v>113.79152551115979</v>
      </c>
      <c r="AD105" s="223">
        <v>113.9758009200598</v>
      </c>
      <c r="AE105" s="223">
        <v>115.7276186228998</v>
      </c>
      <c r="AF105" s="223">
        <v>115.54334321399998</v>
      </c>
      <c r="AG105" s="223">
        <v>113.22768369389979</v>
      </c>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row>
    <row r="106" spans="1:62" x14ac:dyDescent="0.25">
      <c r="A106" s="204" t="s">
        <v>189</v>
      </c>
      <c r="B106" s="204" t="s">
        <v>352</v>
      </c>
      <c r="C106" s="204" t="s">
        <v>366</v>
      </c>
      <c r="D106" s="204" t="s">
        <v>193</v>
      </c>
      <c r="E106" s="204" t="s">
        <v>323</v>
      </c>
      <c r="F106" s="223">
        <v>162.35519225796006</v>
      </c>
      <c r="G106" s="223">
        <v>162.85447603163993</v>
      </c>
      <c r="H106" s="223">
        <v>162.45749437104001</v>
      </c>
      <c r="I106" s="223">
        <v>165.37481851379994</v>
      </c>
      <c r="J106" s="223">
        <v>165.32366745725997</v>
      </c>
      <c r="K106" s="223">
        <v>162.35519225796006</v>
      </c>
      <c r="L106" s="223">
        <v>162.80332497509997</v>
      </c>
      <c r="M106" s="223">
        <v>162.85447603163993</v>
      </c>
      <c r="N106" s="223">
        <v>162.45749437104001</v>
      </c>
      <c r="O106" s="223">
        <v>165.32366745725997</v>
      </c>
      <c r="P106" s="223">
        <v>162.35519225796006</v>
      </c>
      <c r="Q106" s="223">
        <v>162.35519225796006</v>
      </c>
      <c r="R106" s="223">
        <v>162.80332497509997</v>
      </c>
      <c r="S106" s="223">
        <v>162.45749437104001</v>
      </c>
      <c r="T106" s="223">
        <v>165.37481851379994</v>
      </c>
      <c r="U106" s="223">
        <v>165.32366745725997</v>
      </c>
      <c r="V106" s="223">
        <v>162.35519225796006</v>
      </c>
      <c r="W106" s="223">
        <v>162.80332497509997</v>
      </c>
      <c r="X106" s="223">
        <v>162.85447603163993</v>
      </c>
      <c r="Y106" s="223">
        <v>162.45749437104001</v>
      </c>
      <c r="Z106" s="223">
        <v>165.37481851379994</v>
      </c>
      <c r="AA106" s="223">
        <v>162.35519225796006</v>
      </c>
      <c r="AB106" s="223">
        <v>162.35519225796006</v>
      </c>
      <c r="AC106" s="223">
        <v>162.80332497509997</v>
      </c>
      <c r="AD106" s="223">
        <v>162.85447603163993</v>
      </c>
      <c r="AE106" s="223">
        <v>165.37481851379994</v>
      </c>
      <c r="AF106" s="223">
        <v>165.32366745725997</v>
      </c>
      <c r="AG106" s="223">
        <v>162.35519225796006</v>
      </c>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row>
    <row r="107" spans="1:62" x14ac:dyDescent="0.25">
      <c r="A107" s="204" t="s">
        <v>189</v>
      </c>
      <c r="B107" s="204" t="s">
        <v>352</v>
      </c>
      <c r="C107" s="204" t="s">
        <v>367</v>
      </c>
      <c r="D107" s="204" t="s">
        <v>198</v>
      </c>
      <c r="E107" s="204" t="s">
        <v>323</v>
      </c>
      <c r="F107" s="223">
        <v>107.66916685752008</v>
      </c>
      <c r="G107" s="223">
        <v>108.2840969496</v>
      </c>
      <c r="H107" s="223">
        <v>107.96601961248007</v>
      </c>
      <c r="I107" s="223">
        <v>109.96950766830004</v>
      </c>
      <c r="J107" s="223">
        <v>109.82108129082006</v>
      </c>
      <c r="K107" s="223">
        <v>107.66916685752008</v>
      </c>
      <c r="L107" s="223">
        <v>108.13567057212006</v>
      </c>
      <c r="M107" s="223">
        <v>108.2840969496</v>
      </c>
      <c r="N107" s="223">
        <v>107.96601961248007</v>
      </c>
      <c r="O107" s="223">
        <v>109.82108129082006</v>
      </c>
      <c r="P107" s="223">
        <v>107.66916685752008</v>
      </c>
      <c r="Q107" s="223">
        <v>107.66916685752008</v>
      </c>
      <c r="R107" s="223">
        <v>108.13567057212006</v>
      </c>
      <c r="S107" s="223">
        <v>107.96601961248007</v>
      </c>
      <c r="T107" s="223">
        <v>109.96950766830004</v>
      </c>
      <c r="U107" s="223">
        <v>109.82108129082006</v>
      </c>
      <c r="V107" s="223">
        <v>107.66916685752008</v>
      </c>
      <c r="W107" s="223">
        <v>108.13567057212006</v>
      </c>
      <c r="X107" s="223">
        <v>108.2840969496</v>
      </c>
      <c r="Y107" s="223">
        <v>107.96601961248007</v>
      </c>
      <c r="Z107" s="223">
        <v>109.96950766830004</v>
      </c>
      <c r="AA107" s="223">
        <v>107.66916685752008</v>
      </c>
      <c r="AB107" s="223">
        <v>107.66916685752008</v>
      </c>
      <c r="AC107" s="223">
        <v>108.13567057212006</v>
      </c>
      <c r="AD107" s="223">
        <v>108.2840969496</v>
      </c>
      <c r="AE107" s="223">
        <v>109.96950766830004</v>
      </c>
      <c r="AF107" s="223">
        <v>109.82108129082006</v>
      </c>
      <c r="AG107" s="223">
        <v>107.66916685752008</v>
      </c>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row>
    <row r="108" spans="1:62" x14ac:dyDescent="0.25">
      <c r="A108" s="204" t="s">
        <v>189</v>
      </c>
      <c r="B108" s="204" t="s">
        <v>352</v>
      </c>
      <c r="C108" s="204" t="s">
        <v>368</v>
      </c>
      <c r="D108" s="204" t="s">
        <v>203</v>
      </c>
      <c r="E108" s="204" t="s">
        <v>323</v>
      </c>
      <c r="F108" s="223">
        <v>45.612700453440034</v>
      </c>
      <c r="G108" s="223">
        <v>46.147270148160032</v>
      </c>
      <c r="H108" s="223">
        <v>45.93140477699999</v>
      </c>
      <c r="I108" s="223">
        <v>46.85149754106002</v>
      </c>
      <c r="J108" s="223">
        <v>46.692145379280028</v>
      </c>
      <c r="K108" s="223">
        <v>45.612700453440034</v>
      </c>
      <c r="L108" s="223">
        <v>45.987917986380033</v>
      </c>
      <c r="M108" s="223">
        <v>46.147270148160032</v>
      </c>
      <c r="N108" s="223">
        <v>45.93140477699999</v>
      </c>
      <c r="O108" s="223">
        <v>46.692145379280028</v>
      </c>
      <c r="P108" s="223">
        <v>45.612700453440034</v>
      </c>
      <c r="Q108" s="223">
        <v>45.612700453440034</v>
      </c>
      <c r="R108" s="223">
        <v>45.987917986380033</v>
      </c>
      <c r="S108" s="223">
        <v>45.93140477699999</v>
      </c>
      <c r="T108" s="223">
        <v>46.85149754106002</v>
      </c>
      <c r="U108" s="223">
        <v>46.692145379280028</v>
      </c>
      <c r="V108" s="223">
        <v>45.612700453440034</v>
      </c>
      <c r="W108" s="223">
        <v>45.987917986380033</v>
      </c>
      <c r="X108" s="223">
        <v>46.147270148160032</v>
      </c>
      <c r="Y108" s="223">
        <v>45.93140477699999</v>
      </c>
      <c r="Z108" s="223">
        <v>46.85149754106002</v>
      </c>
      <c r="AA108" s="223">
        <v>45.612700453440034</v>
      </c>
      <c r="AB108" s="223">
        <v>45.612700453440034</v>
      </c>
      <c r="AC108" s="223">
        <v>45.987917986380033</v>
      </c>
      <c r="AD108" s="223">
        <v>46.147270148160032</v>
      </c>
      <c r="AE108" s="223">
        <v>46.85149754106002</v>
      </c>
      <c r="AF108" s="223">
        <v>46.692145379280028</v>
      </c>
      <c r="AG108" s="223">
        <v>45.612700453440034</v>
      </c>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row>
    <row r="109" spans="1:62" x14ac:dyDescent="0.25">
      <c r="A109" s="204" t="s">
        <v>189</v>
      </c>
      <c r="B109" s="204" t="s">
        <v>352</v>
      </c>
      <c r="C109" s="204" t="s">
        <v>369</v>
      </c>
      <c r="D109" s="204" t="s">
        <v>207</v>
      </c>
      <c r="E109" s="204" t="s">
        <v>323</v>
      </c>
      <c r="F109" s="223">
        <v>0.90076467036000107</v>
      </c>
      <c r="G109" s="223">
        <v>0.95017181814000096</v>
      </c>
      <c r="H109" s="223">
        <v>0.94207201992000089</v>
      </c>
      <c r="I109" s="223">
        <v>0.97082549292000087</v>
      </c>
      <c r="J109" s="223">
        <v>0.95017181814000096</v>
      </c>
      <c r="K109" s="223">
        <v>0.90076467036000107</v>
      </c>
      <c r="L109" s="223">
        <v>0.92951814336000105</v>
      </c>
      <c r="M109" s="223">
        <v>0.95017181814000096</v>
      </c>
      <c r="N109" s="223">
        <v>0.94207201992000089</v>
      </c>
      <c r="O109" s="223">
        <v>0.95017181814000096</v>
      </c>
      <c r="P109" s="223">
        <v>0.90076467036000107</v>
      </c>
      <c r="Q109" s="223">
        <v>0.90076467036000107</v>
      </c>
      <c r="R109" s="223">
        <v>0.92951814336000105</v>
      </c>
      <c r="S109" s="223">
        <v>0.94207201992000089</v>
      </c>
      <c r="T109" s="223">
        <v>0.97082549292000087</v>
      </c>
      <c r="U109" s="223">
        <v>0.95017181814000096</v>
      </c>
      <c r="V109" s="223">
        <v>0.90076467036000107</v>
      </c>
      <c r="W109" s="223">
        <v>0.92951814336000105</v>
      </c>
      <c r="X109" s="223">
        <v>0.95017181814000096</v>
      </c>
      <c r="Y109" s="223">
        <v>0.94207201992000089</v>
      </c>
      <c r="Z109" s="223">
        <v>0.97082549292000087</v>
      </c>
      <c r="AA109" s="223">
        <v>0.90076467036000107</v>
      </c>
      <c r="AB109" s="223">
        <v>0.90076467036000107</v>
      </c>
      <c r="AC109" s="223">
        <v>0.92951814336000105</v>
      </c>
      <c r="AD109" s="223">
        <v>0.95017181814000096</v>
      </c>
      <c r="AE109" s="223">
        <v>0.97082549292000087</v>
      </c>
      <c r="AF109" s="223">
        <v>0.95017181814000096</v>
      </c>
      <c r="AG109" s="223">
        <v>0.90076467036000107</v>
      </c>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row>
    <row r="110" spans="1:62" x14ac:dyDescent="0.25">
      <c r="A110" s="204" t="s">
        <v>189</v>
      </c>
      <c r="B110" s="204" t="s">
        <v>352</v>
      </c>
      <c r="C110" s="204" t="s">
        <v>370</v>
      </c>
      <c r="D110" s="204" t="s">
        <v>354</v>
      </c>
      <c r="E110" s="204" t="s">
        <v>323</v>
      </c>
      <c r="F110" s="223">
        <v>113.22768369389979</v>
      </c>
      <c r="G110" s="223">
        <v>113.9758009200598</v>
      </c>
      <c r="H110" s="223">
        <v>113.59623451169981</v>
      </c>
      <c r="I110" s="223">
        <v>115.7276186228998</v>
      </c>
      <c r="J110" s="223">
        <v>115.54334321399998</v>
      </c>
      <c r="K110" s="223">
        <v>113.22768369389979</v>
      </c>
      <c r="L110" s="223">
        <v>113.79152551115979</v>
      </c>
      <c r="M110" s="223">
        <v>113.9758009200598</v>
      </c>
      <c r="N110" s="223">
        <v>113.59623451169981</v>
      </c>
      <c r="O110" s="223">
        <v>115.54334321399998</v>
      </c>
      <c r="P110" s="223">
        <v>113.22768369389979</v>
      </c>
      <c r="Q110" s="223">
        <v>113.22768369389979</v>
      </c>
      <c r="R110" s="223">
        <v>113.79152551115979</v>
      </c>
      <c r="S110" s="223">
        <v>113.59623451169981</v>
      </c>
      <c r="T110" s="223">
        <v>115.7276186228998</v>
      </c>
      <c r="U110" s="223">
        <v>115.54334321399998</v>
      </c>
      <c r="V110" s="223">
        <v>113.22768369389979</v>
      </c>
      <c r="W110" s="223">
        <v>113.79152551115979</v>
      </c>
      <c r="X110" s="223">
        <v>113.9758009200598</v>
      </c>
      <c r="Y110" s="223">
        <v>113.59623451169981</v>
      </c>
      <c r="Z110" s="223">
        <v>115.7276186228998</v>
      </c>
      <c r="AA110" s="223">
        <v>113.22768369389979</v>
      </c>
      <c r="AB110" s="223">
        <v>113.22768369389979</v>
      </c>
      <c r="AC110" s="223">
        <v>113.79152551115979</v>
      </c>
      <c r="AD110" s="223">
        <v>113.9758009200598</v>
      </c>
      <c r="AE110" s="223">
        <v>115.7276186228998</v>
      </c>
      <c r="AF110" s="223">
        <v>115.54334321399998</v>
      </c>
      <c r="AG110" s="223">
        <v>113.22768369389979</v>
      </c>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row>
    <row r="111" spans="1:62" x14ac:dyDescent="0.25">
      <c r="A111" s="204" t="s">
        <v>189</v>
      </c>
      <c r="B111" s="204" t="s">
        <v>352</v>
      </c>
      <c r="C111" s="204" t="s">
        <v>371</v>
      </c>
      <c r="D111" s="204" t="s">
        <v>193</v>
      </c>
      <c r="E111" s="204" t="s">
        <v>324</v>
      </c>
      <c r="F111" s="223">
        <v>162.35519225796006</v>
      </c>
      <c r="G111" s="223">
        <v>162.85447603163993</v>
      </c>
      <c r="H111" s="223">
        <v>162.45749437104001</v>
      </c>
      <c r="I111" s="223">
        <v>165.37481851379994</v>
      </c>
      <c r="J111" s="223">
        <v>165.32366745725997</v>
      </c>
      <c r="K111" s="223">
        <v>162.35519225796006</v>
      </c>
      <c r="L111" s="223">
        <v>162.80332497509997</v>
      </c>
      <c r="M111" s="223">
        <v>162.85447603163993</v>
      </c>
      <c r="N111" s="223">
        <v>162.45749437104001</v>
      </c>
      <c r="O111" s="223">
        <v>165.32366745725997</v>
      </c>
      <c r="P111" s="223">
        <v>162.35519225796006</v>
      </c>
      <c r="Q111" s="223">
        <v>162.35519225796006</v>
      </c>
      <c r="R111" s="223">
        <v>162.80332497509997</v>
      </c>
      <c r="S111" s="223">
        <v>162.45749437104001</v>
      </c>
      <c r="T111" s="223">
        <v>165.37481851379994</v>
      </c>
      <c r="U111" s="223">
        <v>165.32366745725997</v>
      </c>
      <c r="V111" s="223">
        <v>162.35519225796006</v>
      </c>
      <c r="W111" s="223">
        <v>162.80332497509997</v>
      </c>
      <c r="X111" s="223">
        <v>162.85447603163993</v>
      </c>
      <c r="Y111" s="223">
        <v>162.45749437104001</v>
      </c>
      <c r="Z111" s="223">
        <v>165.37481851379994</v>
      </c>
      <c r="AA111" s="223">
        <v>162.35519225796006</v>
      </c>
      <c r="AB111" s="223">
        <v>162.35519225796006</v>
      </c>
      <c r="AC111" s="223">
        <v>162.80332497509997</v>
      </c>
      <c r="AD111" s="223">
        <v>162.85447603163993</v>
      </c>
      <c r="AE111" s="223">
        <v>165.37481851379994</v>
      </c>
      <c r="AF111" s="223">
        <v>165.32366745725997</v>
      </c>
      <c r="AG111" s="223">
        <v>162.35519225796006</v>
      </c>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row>
    <row r="112" spans="1:62" x14ac:dyDescent="0.25">
      <c r="A112" s="204" t="s">
        <v>189</v>
      </c>
      <c r="B112" s="204" t="s">
        <v>352</v>
      </c>
      <c r="C112" s="204" t="s">
        <v>372</v>
      </c>
      <c r="D112" s="204" t="s">
        <v>198</v>
      </c>
      <c r="E112" s="204" t="s">
        <v>324</v>
      </c>
      <c r="F112" s="223">
        <v>107.66916685752008</v>
      </c>
      <c r="G112" s="223">
        <v>108.2840969496</v>
      </c>
      <c r="H112" s="223">
        <v>107.96601961248007</v>
      </c>
      <c r="I112" s="223">
        <v>109.96950766830004</v>
      </c>
      <c r="J112" s="223">
        <v>109.82108129082006</v>
      </c>
      <c r="K112" s="223">
        <v>107.66916685752008</v>
      </c>
      <c r="L112" s="223">
        <v>108.13567057212006</v>
      </c>
      <c r="M112" s="223">
        <v>108.2840969496</v>
      </c>
      <c r="N112" s="223">
        <v>107.96601961248007</v>
      </c>
      <c r="O112" s="223">
        <v>109.82108129082006</v>
      </c>
      <c r="P112" s="223">
        <v>107.66916685752008</v>
      </c>
      <c r="Q112" s="223">
        <v>107.66916685752008</v>
      </c>
      <c r="R112" s="223">
        <v>108.13567057212006</v>
      </c>
      <c r="S112" s="223">
        <v>107.96601961248007</v>
      </c>
      <c r="T112" s="223">
        <v>109.96950766830004</v>
      </c>
      <c r="U112" s="223">
        <v>109.82108129082006</v>
      </c>
      <c r="V112" s="223">
        <v>107.66916685752008</v>
      </c>
      <c r="W112" s="223">
        <v>108.13567057212006</v>
      </c>
      <c r="X112" s="223">
        <v>108.2840969496</v>
      </c>
      <c r="Y112" s="223">
        <v>107.96601961248007</v>
      </c>
      <c r="Z112" s="223">
        <v>109.96950766830004</v>
      </c>
      <c r="AA112" s="223">
        <v>107.66916685752008</v>
      </c>
      <c r="AB112" s="223">
        <v>107.66916685752008</v>
      </c>
      <c r="AC112" s="223">
        <v>108.13567057212006</v>
      </c>
      <c r="AD112" s="223">
        <v>108.2840969496</v>
      </c>
      <c r="AE112" s="223">
        <v>109.96950766830004</v>
      </c>
      <c r="AF112" s="223">
        <v>109.82108129082006</v>
      </c>
      <c r="AG112" s="223">
        <v>107.66916685752008</v>
      </c>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row>
    <row r="113" spans="1:62" x14ac:dyDescent="0.25">
      <c r="A113" s="204" t="s">
        <v>189</v>
      </c>
      <c r="B113" s="204" t="s">
        <v>352</v>
      </c>
      <c r="C113" s="204" t="s">
        <v>373</v>
      </c>
      <c r="D113" s="204" t="s">
        <v>203</v>
      </c>
      <c r="E113" s="204" t="s">
        <v>324</v>
      </c>
      <c r="F113" s="223">
        <v>45.612700453440034</v>
      </c>
      <c r="G113" s="223">
        <v>46.147270148160032</v>
      </c>
      <c r="H113" s="223">
        <v>45.93140477699999</v>
      </c>
      <c r="I113" s="223">
        <v>46.85149754106002</v>
      </c>
      <c r="J113" s="223">
        <v>46.692145379280028</v>
      </c>
      <c r="K113" s="223">
        <v>45.612700453440034</v>
      </c>
      <c r="L113" s="223">
        <v>45.987917986380033</v>
      </c>
      <c r="M113" s="223">
        <v>46.147270148160032</v>
      </c>
      <c r="N113" s="223">
        <v>45.93140477699999</v>
      </c>
      <c r="O113" s="223">
        <v>46.692145379280028</v>
      </c>
      <c r="P113" s="223">
        <v>45.612700453440034</v>
      </c>
      <c r="Q113" s="223">
        <v>45.612700453440034</v>
      </c>
      <c r="R113" s="223">
        <v>45.987917986380033</v>
      </c>
      <c r="S113" s="223">
        <v>45.93140477699999</v>
      </c>
      <c r="T113" s="223">
        <v>46.85149754106002</v>
      </c>
      <c r="U113" s="223">
        <v>46.692145379280028</v>
      </c>
      <c r="V113" s="223">
        <v>45.612700453440034</v>
      </c>
      <c r="W113" s="223">
        <v>45.987917986380033</v>
      </c>
      <c r="X113" s="223">
        <v>46.147270148160032</v>
      </c>
      <c r="Y113" s="223">
        <v>45.93140477699999</v>
      </c>
      <c r="Z113" s="223">
        <v>46.85149754106002</v>
      </c>
      <c r="AA113" s="223">
        <v>45.612700453440034</v>
      </c>
      <c r="AB113" s="223">
        <v>45.612700453440034</v>
      </c>
      <c r="AC113" s="223">
        <v>45.987917986380033</v>
      </c>
      <c r="AD113" s="223">
        <v>46.147270148160032</v>
      </c>
      <c r="AE113" s="223">
        <v>46.85149754106002</v>
      </c>
      <c r="AF113" s="223">
        <v>46.692145379280028</v>
      </c>
      <c r="AG113" s="223">
        <v>45.612700453440034</v>
      </c>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row>
    <row r="114" spans="1:62" x14ac:dyDescent="0.25">
      <c r="A114" s="204" t="s">
        <v>189</v>
      </c>
      <c r="B114" s="204" t="s">
        <v>352</v>
      </c>
      <c r="C114" s="204" t="s">
        <v>374</v>
      </c>
      <c r="D114" s="204" t="s">
        <v>207</v>
      </c>
      <c r="E114" s="204" t="s">
        <v>324</v>
      </c>
      <c r="F114" s="223">
        <v>0.90076467036000107</v>
      </c>
      <c r="G114" s="223">
        <v>0.95017181814000096</v>
      </c>
      <c r="H114" s="223">
        <v>0.94207201992000089</v>
      </c>
      <c r="I114" s="223">
        <v>0.97082549292000087</v>
      </c>
      <c r="J114" s="223">
        <v>0.95017181814000096</v>
      </c>
      <c r="K114" s="223">
        <v>0.90076467036000107</v>
      </c>
      <c r="L114" s="223">
        <v>0.92951814336000105</v>
      </c>
      <c r="M114" s="223">
        <v>0.95017181814000096</v>
      </c>
      <c r="N114" s="223">
        <v>0.94207201992000089</v>
      </c>
      <c r="O114" s="223">
        <v>0.95017181814000096</v>
      </c>
      <c r="P114" s="223">
        <v>0.90076467036000107</v>
      </c>
      <c r="Q114" s="223">
        <v>0.90076467036000107</v>
      </c>
      <c r="R114" s="223">
        <v>0.92951814336000105</v>
      </c>
      <c r="S114" s="223">
        <v>0.94207201992000089</v>
      </c>
      <c r="T114" s="223">
        <v>0.97082549292000087</v>
      </c>
      <c r="U114" s="223">
        <v>0.95017181814000096</v>
      </c>
      <c r="V114" s="223">
        <v>0.90076467036000107</v>
      </c>
      <c r="W114" s="223">
        <v>0.92951814336000105</v>
      </c>
      <c r="X114" s="223">
        <v>0.95017181814000096</v>
      </c>
      <c r="Y114" s="223">
        <v>0.94207201992000089</v>
      </c>
      <c r="Z114" s="223">
        <v>0.97082549292000087</v>
      </c>
      <c r="AA114" s="223">
        <v>0.90076467036000107</v>
      </c>
      <c r="AB114" s="223">
        <v>0.90076467036000107</v>
      </c>
      <c r="AC114" s="223">
        <v>0.92951814336000105</v>
      </c>
      <c r="AD114" s="223">
        <v>0.95017181814000096</v>
      </c>
      <c r="AE114" s="223">
        <v>0.97082549292000087</v>
      </c>
      <c r="AF114" s="223">
        <v>0.95017181814000096</v>
      </c>
      <c r="AG114" s="223">
        <v>0.90076467036000107</v>
      </c>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row>
    <row r="115" spans="1:62" x14ac:dyDescent="0.25">
      <c r="A115" s="204" t="s">
        <v>189</v>
      </c>
      <c r="B115" s="204" t="s">
        <v>352</v>
      </c>
      <c r="C115" s="204" t="s">
        <v>375</v>
      </c>
      <c r="D115" s="204" t="s">
        <v>354</v>
      </c>
      <c r="E115" s="204" t="s">
        <v>325</v>
      </c>
      <c r="F115" s="223">
        <v>145.34585218434006</v>
      </c>
      <c r="G115" s="223">
        <v>143.69749579319998</v>
      </c>
      <c r="H115" s="223">
        <v>143.57411881692005</v>
      </c>
      <c r="I115" s="223">
        <v>148.07022830544011</v>
      </c>
      <c r="J115" s="223">
        <v>147.90437514996015</v>
      </c>
      <c r="K115" s="223">
        <v>145.34585218434006</v>
      </c>
      <c r="L115" s="223">
        <v>145.63508231609998</v>
      </c>
      <c r="M115" s="223">
        <v>143.69749579319998</v>
      </c>
      <c r="N115" s="223">
        <v>143.57411881692005</v>
      </c>
      <c r="O115" s="223">
        <v>147.90437514996015</v>
      </c>
      <c r="P115" s="223">
        <v>145.34585218434006</v>
      </c>
      <c r="Q115" s="223">
        <v>145.34585218434006</v>
      </c>
      <c r="R115" s="223">
        <v>145.63508231609998</v>
      </c>
      <c r="S115" s="223">
        <v>143.57411881692005</v>
      </c>
      <c r="T115" s="223">
        <v>148.07022830544011</v>
      </c>
      <c r="U115" s="223">
        <v>147.90437514996015</v>
      </c>
      <c r="V115" s="223">
        <v>145.34585218434006</v>
      </c>
      <c r="W115" s="223">
        <v>145.63508231609998</v>
      </c>
      <c r="X115" s="223">
        <v>143.69749579319998</v>
      </c>
      <c r="Y115" s="223">
        <v>143.57411881692005</v>
      </c>
      <c r="Z115" s="223">
        <v>148.07022830544011</v>
      </c>
      <c r="AA115" s="223">
        <v>145.34585218434006</v>
      </c>
      <c r="AB115" s="223">
        <v>145.34585218434006</v>
      </c>
      <c r="AC115" s="223">
        <v>145.63508231609998</v>
      </c>
      <c r="AD115" s="223">
        <v>143.69749579319998</v>
      </c>
      <c r="AE115" s="223">
        <v>148.07022830544011</v>
      </c>
      <c r="AF115" s="223">
        <v>147.90437514996015</v>
      </c>
      <c r="AG115" s="223">
        <v>145.34585218434006</v>
      </c>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row>
    <row r="116" spans="1:62" x14ac:dyDescent="0.25">
      <c r="A116" s="204" t="s">
        <v>189</v>
      </c>
      <c r="B116" s="204" t="s">
        <v>352</v>
      </c>
      <c r="C116" s="204" t="s">
        <v>376</v>
      </c>
      <c r="D116" s="204" t="s">
        <v>354</v>
      </c>
      <c r="E116" s="204" t="s">
        <v>326</v>
      </c>
      <c r="F116" s="223">
        <v>177.25801949393971</v>
      </c>
      <c r="G116" s="223">
        <v>178.91654279771959</v>
      </c>
      <c r="H116" s="223">
        <v>178.13241068621963</v>
      </c>
      <c r="I116" s="223">
        <v>181.59411478913947</v>
      </c>
      <c r="J116" s="223">
        <v>181.15691919299945</v>
      </c>
      <c r="K116" s="223">
        <v>177.25801949393971</v>
      </c>
      <c r="L116" s="223">
        <v>178.47934720157957</v>
      </c>
      <c r="M116" s="223">
        <v>178.91654279771959</v>
      </c>
      <c r="N116" s="223">
        <v>178.13241068621963</v>
      </c>
      <c r="O116" s="223">
        <v>181.15691919299945</v>
      </c>
      <c r="P116" s="223">
        <v>177.25801949393971</v>
      </c>
      <c r="Q116" s="223">
        <v>177.25801949393971</v>
      </c>
      <c r="R116" s="223">
        <v>178.47934720157957</v>
      </c>
      <c r="S116" s="223">
        <v>178.13241068621963</v>
      </c>
      <c r="T116" s="223">
        <v>181.59411478913947</v>
      </c>
      <c r="U116" s="223">
        <v>181.15691919299945</v>
      </c>
      <c r="V116" s="223">
        <v>177.25801949393971</v>
      </c>
      <c r="W116" s="223">
        <v>178.47934720157957</v>
      </c>
      <c r="X116" s="223">
        <v>178.91654279771959</v>
      </c>
      <c r="Y116" s="223">
        <v>178.13241068621963</v>
      </c>
      <c r="Z116" s="223">
        <v>181.59411478913947</v>
      </c>
      <c r="AA116" s="223">
        <v>177.25801949393971</v>
      </c>
      <c r="AB116" s="223">
        <v>177.25801949393971</v>
      </c>
      <c r="AC116" s="223">
        <v>178.47934720157957</v>
      </c>
      <c r="AD116" s="223">
        <v>178.91654279771959</v>
      </c>
      <c r="AE116" s="223">
        <v>181.59411478913947</v>
      </c>
      <c r="AF116" s="223">
        <v>181.15691919299945</v>
      </c>
      <c r="AG116" s="223">
        <v>177.25801949393971</v>
      </c>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row>
    <row r="117" spans="1:62" x14ac:dyDescent="0.25">
      <c r="A117" s="204" t="s">
        <v>189</v>
      </c>
      <c r="B117" s="204" t="s">
        <v>352</v>
      </c>
      <c r="C117" s="204" t="s">
        <v>377</v>
      </c>
      <c r="D117" s="204" t="s">
        <v>354</v>
      </c>
      <c r="E117" s="204" t="s">
        <v>327</v>
      </c>
      <c r="F117" s="223">
        <v>173.62801494630017</v>
      </c>
      <c r="G117" s="223">
        <v>174.9323249505602</v>
      </c>
      <c r="H117" s="223">
        <v>174.34863414894019</v>
      </c>
      <c r="I117" s="223">
        <v>177.65686139316037</v>
      </c>
      <c r="J117" s="223">
        <v>177.29655179184027</v>
      </c>
      <c r="K117" s="223">
        <v>173.62801494630017</v>
      </c>
      <c r="L117" s="223">
        <v>174.57201534924019</v>
      </c>
      <c r="M117" s="223">
        <v>174.9323249505602</v>
      </c>
      <c r="N117" s="223">
        <v>174.34863414894019</v>
      </c>
      <c r="O117" s="223">
        <v>177.29655179184027</v>
      </c>
      <c r="P117" s="223">
        <v>173.62801494630017</v>
      </c>
      <c r="Q117" s="223">
        <v>173.62801494630017</v>
      </c>
      <c r="R117" s="223">
        <v>174.57201534924019</v>
      </c>
      <c r="S117" s="223">
        <v>174.34863414894019</v>
      </c>
      <c r="T117" s="223">
        <v>177.65686139316037</v>
      </c>
      <c r="U117" s="223">
        <v>177.29655179184027</v>
      </c>
      <c r="V117" s="223">
        <v>173.62801494630017</v>
      </c>
      <c r="W117" s="223">
        <v>174.57201534924019</v>
      </c>
      <c r="X117" s="223">
        <v>174.9323249505602</v>
      </c>
      <c r="Y117" s="223">
        <v>174.34863414894019</v>
      </c>
      <c r="Z117" s="223">
        <v>177.65686139316037</v>
      </c>
      <c r="AA117" s="223">
        <v>173.62801494630017</v>
      </c>
      <c r="AB117" s="223">
        <v>173.62801494630017</v>
      </c>
      <c r="AC117" s="223">
        <v>174.57201534924019</v>
      </c>
      <c r="AD117" s="223">
        <v>174.9323249505602</v>
      </c>
      <c r="AE117" s="223">
        <v>177.65686139316037</v>
      </c>
      <c r="AF117" s="223">
        <v>177.29655179184027</v>
      </c>
      <c r="AG117" s="223">
        <v>173.62801494630017</v>
      </c>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row>
    <row r="118" spans="1:62" x14ac:dyDescent="0.25">
      <c r="A118" s="204" t="s">
        <v>189</v>
      </c>
      <c r="B118" s="204" t="s">
        <v>352</v>
      </c>
      <c r="C118" s="204" t="s">
        <v>378</v>
      </c>
      <c r="D118" s="204" t="s">
        <v>354</v>
      </c>
      <c r="E118" s="204" t="s">
        <v>328</v>
      </c>
      <c r="F118" s="223">
        <v>153.03757672234005</v>
      </c>
      <c r="G118" s="223">
        <v>154.40944678216002</v>
      </c>
      <c r="H118" s="223">
        <v>154.08538463942003</v>
      </c>
      <c r="I118" s="223">
        <v>157.09160456464002</v>
      </c>
      <c r="J118" s="223">
        <v>156.5677006061</v>
      </c>
      <c r="K118" s="223">
        <v>153.03757672234005</v>
      </c>
      <c r="L118" s="223">
        <v>153.88554282362003</v>
      </c>
      <c r="M118" s="223">
        <v>154.40944678216002</v>
      </c>
      <c r="N118" s="223">
        <v>154.08538463942003</v>
      </c>
      <c r="O118" s="223">
        <v>156.5677006061</v>
      </c>
      <c r="P118" s="223">
        <v>153.03757672234005</v>
      </c>
      <c r="Q118" s="223">
        <v>153.03757672234005</v>
      </c>
      <c r="R118" s="223">
        <v>153.88554282362003</v>
      </c>
      <c r="S118" s="223">
        <v>154.08538463942003</v>
      </c>
      <c r="T118" s="223">
        <v>157.09160456464002</v>
      </c>
      <c r="U118" s="223">
        <v>156.5677006061</v>
      </c>
      <c r="V118" s="223">
        <v>153.03757672234005</v>
      </c>
      <c r="W118" s="223">
        <v>153.88554282362003</v>
      </c>
      <c r="X118" s="223">
        <v>154.40944678216002</v>
      </c>
      <c r="Y118" s="223">
        <v>154.08538463942003</v>
      </c>
      <c r="Z118" s="223">
        <v>157.09160456464002</v>
      </c>
      <c r="AA118" s="223">
        <v>153.03757672234005</v>
      </c>
      <c r="AB118" s="223">
        <v>153.03757672234005</v>
      </c>
      <c r="AC118" s="223">
        <v>153.88554282362003</v>
      </c>
      <c r="AD118" s="223">
        <v>154.40944678216002</v>
      </c>
      <c r="AE118" s="223">
        <v>157.09160456464002</v>
      </c>
      <c r="AF118" s="223">
        <v>156.5677006061</v>
      </c>
      <c r="AG118" s="223">
        <v>153.03757672234005</v>
      </c>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row>
    <row r="119" spans="1:62" x14ac:dyDescent="0.25">
      <c r="A119" s="204" t="s">
        <v>189</v>
      </c>
      <c r="B119" s="204" t="s">
        <v>352</v>
      </c>
      <c r="C119" s="204" t="s">
        <v>379</v>
      </c>
      <c r="D119" s="204" t="s">
        <v>354</v>
      </c>
      <c r="E119" s="204" t="s">
        <v>329</v>
      </c>
      <c r="F119" s="223">
        <v>159.08393600034034</v>
      </c>
      <c r="G119" s="223">
        <v>160.69248032160036</v>
      </c>
      <c r="H119" s="223">
        <v>160.17369572238039</v>
      </c>
      <c r="I119" s="223">
        <v>163.34838075438037</v>
      </c>
      <c r="J119" s="223">
        <v>162.80350089336036</v>
      </c>
      <c r="K119" s="223">
        <v>159.08393600034034</v>
      </c>
      <c r="L119" s="223">
        <v>160.14760046058035</v>
      </c>
      <c r="M119" s="223">
        <v>160.69248032160036</v>
      </c>
      <c r="N119" s="223">
        <v>160.17369572238039</v>
      </c>
      <c r="O119" s="223">
        <v>162.80350089336036</v>
      </c>
      <c r="P119" s="223">
        <v>159.08393600034034</v>
      </c>
      <c r="Q119" s="223">
        <v>159.08393600034034</v>
      </c>
      <c r="R119" s="223">
        <v>160.14760046058035</v>
      </c>
      <c r="S119" s="223">
        <v>160.17369572238039</v>
      </c>
      <c r="T119" s="223">
        <v>163.34838075438037</v>
      </c>
      <c r="U119" s="223">
        <v>162.80350089336036</v>
      </c>
      <c r="V119" s="223">
        <v>159.08393600034034</v>
      </c>
      <c r="W119" s="223">
        <v>160.14760046058035</v>
      </c>
      <c r="X119" s="223">
        <v>160.69248032160036</v>
      </c>
      <c r="Y119" s="223">
        <v>160.17369572238039</v>
      </c>
      <c r="Z119" s="223">
        <v>163.34838075438037</v>
      </c>
      <c r="AA119" s="223">
        <v>159.08393600034034</v>
      </c>
      <c r="AB119" s="223">
        <v>159.08393600034034</v>
      </c>
      <c r="AC119" s="223">
        <v>160.14760046058035</v>
      </c>
      <c r="AD119" s="223">
        <v>160.69248032160036</v>
      </c>
      <c r="AE119" s="223">
        <v>163.34838075438037</v>
      </c>
      <c r="AF119" s="223">
        <v>162.80350089336036</v>
      </c>
      <c r="AG119" s="223">
        <v>159.08393600034034</v>
      </c>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row>
    <row r="120" spans="1:62" x14ac:dyDescent="0.25">
      <c r="A120" s="204" t="s">
        <v>189</v>
      </c>
      <c r="B120" s="204" t="s">
        <v>352</v>
      </c>
      <c r="C120" s="204" t="s">
        <v>380</v>
      </c>
      <c r="D120" s="204" t="s">
        <v>354</v>
      </c>
      <c r="E120" s="204" t="s">
        <v>330</v>
      </c>
      <c r="F120" s="223">
        <v>153.03757672234005</v>
      </c>
      <c r="G120" s="223">
        <v>154.40944678216002</v>
      </c>
      <c r="H120" s="223">
        <v>154.08538463942003</v>
      </c>
      <c r="I120" s="223">
        <v>157.09160456464002</v>
      </c>
      <c r="J120" s="223">
        <v>156.5677006061</v>
      </c>
      <c r="K120" s="223">
        <v>153.03757672234005</v>
      </c>
      <c r="L120" s="223">
        <v>153.88554282362003</v>
      </c>
      <c r="M120" s="223">
        <v>154.40944678216002</v>
      </c>
      <c r="N120" s="223">
        <v>154.08538463942003</v>
      </c>
      <c r="O120" s="223">
        <v>156.5677006061</v>
      </c>
      <c r="P120" s="223">
        <v>153.03757672234005</v>
      </c>
      <c r="Q120" s="223">
        <v>153.03757672234005</v>
      </c>
      <c r="R120" s="223">
        <v>153.88554282362003</v>
      </c>
      <c r="S120" s="223">
        <v>154.08538463942003</v>
      </c>
      <c r="T120" s="223">
        <v>157.09160456464002</v>
      </c>
      <c r="U120" s="223">
        <v>156.5677006061</v>
      </c>
      <c r="V120" s="223">
        <v>153.03757672234005</v>
      </c>
      <c r="W120" s="223">
        <v>153.88554282362003</v>
      </c>
      <c r="X120" s="223">
        <v>154.40944678216002</v>
      </c>
      <c r="Y120" s="223">
        <v>154.08538463942003</v>
      </c>
      <c r="Z120" s="223">
        <v>157.09160456464002</v>
      </c>
      <c r="AA120" s="223">
        <v>153.03757672234005</v>
      </c>
      <c r="AB120" s="223">
        <v>153.03757672234005</v>
      </c>
      <c r="AC120" s="223">
        <v>153.88554282362003</v>
      </c>
      <c r="AD120" s="223">
        <v>154.40944678216002</v>
      </c>
      <c r="AE120" s="223">
        <v>157.09160456464002</v>
      </c>
      <c r="AF120" s="223">
        <v>156.5677006061</v>
      </c>
      <c r="AG120" s="223">
        <v>153.03757672234005</v>
      </c>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row>
    <row r="121" spans="1:62" x14ac:dyDescent="0.25">
      <c r="A121" s="204" t="s">
        <v>189</v>
      </c>
      <c r="B121" s="204" t="s">
        <v>352</v>
      </c>
      <c r="C121" s="204" t="s">
        <v>381</v>
      </c>
      <c r="D121" s="204" t="s">
        <v>354</v>
      </c>
      <c r="E121" s="204" t="s">
        <v>331</v>
      </c>
      <c r="F121" s="223">
        <v>156.62698748346025</v>
      </c>
      <c r="G121" s="223">
        <v>158.09743868094014</v>
      </c>
      <c r="H121" s="223">
        <v>157.51893690702016</v>
      </c>
      <c r="I121" s="223">
        <v>160.60230584862012</v>
      </c>
      <c r="J121" s="223">
        <v>160.15633113684015</v>
      </c>
      <c r="K121" s="223">
        <v>156.62698748346025</v>
      </c>
      <c r="L121" s="223">
        <v>157.6514639691602</v>
      </c>
      <c r="M121" s="223">
        <v>158.09743868094014</v>
      </c>
      <c r="N121" s="223">
        <v>157.51893690702016</v>
      </c>
      <c r="O121" s="223">
        <v>160.15633113684015</v>
      </c>
      <c r="P121" s="223">
        <v>156.62698748346025</v>
      </c>
      <c r="Q121" s="223">
        <v>156.62698748346025</v>
      </c>
      <c r="R121" s="223">
        <v>157.6514639691602</v>
      </c>
      <c r="S121" s="223">
        <v>157.51893690702016</v>
      </c>
      <c r="T121" s="223">
        <v>160.60230584862012</v>
      </c>
      <c r="U121" s="223">
        <v>160.15633113684015</v>
      </c>
      <c r="V121" s="223">
        <v>156.62698748346025</v>
      </c>
      <c r="W121" s="223">
        <v>157.6514639691602</v>
      </c>
      <c r="X121" s="223">
        <v>158.09743868094014</v>
      </c>
      <c r="Y121" s="223">
        <v>157.51893690702016</v>
      </c>
      <c r="Z121" s="223">
        <v>160.60230584862012</v>
      </c>
      <c r="AA121" s="223">
        <v>156.62698748346025</v>
      </c>
      <c r="AB121" s="223">
        <v>156.62698748346025</v>
      </c>
      <c r="AC121" s="223">
        <v>157.6514639691602</v>
      </c>
      <c r="AD121" s="223">
        <v>158.09743868094014</v>
      </c>
      <c r="AE121" s="223">
        <v>160.60230584862012</v>
      </c>
      <c r="AF121" s="223">
        <v>160.15633113684015</v>
      </c>
      <c r="AG121" s="223">
        <v>156.62698748346025</v>
      </c>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row>
    <row r="122" spans="1:62" x14ac:dyDescent="0.25">
      <c r="A122" s="204" t="s">
        <v>189</v>
      </c>
      <c r="B122" s="204" t="s">
        <v>352</v>
      </c>
      <c r="C122" s="204" t="s">
        <v>382</v>
      </c>
      <c r="D122" s="204" t="s">
        <v>354</v>
      </c>
      <c r="E122" s="204" t="s">
        <v>332</v>
      </c>
      <c r="F122" s="223">
        <v>154.13951102334005</v>
      </c>
      <c r="G122" s="223">
        <v>155.64950564127005</v>
      </c>
      <c r="H122" s="223">
        <v>155.06141005698007</v>
      </c>
      <c r="I122" s="223">
        <v>158.10326427228009</v>
      </c>
      <c r="J122" s="223">
        <v>157.64231475546009</v>
      </c>
      <c r="K122" s="223">
        <v>154.13951102334005</v>
      </c>
      <c r="L122" s="223">
        <v>155.18855612445003</v>
      </c>
      <c r="M122" s="223">
        <v>155.64950564127005</v>
      </c>
      <c r="N122" s="223">
        <v>155.06141005698007</v>
      </c>
      <c r="O122" s="223">
        <v>157.64231475546009</v>
      </c>
      <c r="P122" s="223">
        <v>154.13951102334005</v>
      </c>
      <c r="Q122" s="223">
        <v>154.13951102334005</v>
      </c>
      <c r="R122" s="223">
        <v>155.18855612445003</v>
      </c>
      <c r="S122" s="223">
        <v>155.06141005698007</v>
      </c>
      <c r="T122" s="223">
        <v>158.10326427228009</v>
      </c>
      <c r="U122" s="223">
        <v>157.64231475546009</v>
      </c>
      <c r="V122" s="223">
        <v>154.13951102334005</v>
      </c>
      <c r="W122" s="223">
        <v>155.18855612445003</v>
      </c>
      <c r="X122" s="223">
        <v>155.64950564127005</v>
      </c>
      <c r="Y122" s="223">
        <v>155.06141005698007</v>
      </c>
      <c r="Z122" s="223">
        <v>158.10326427228009</v>
      </c>
      <c r="AA122" s="223">
        <v>154.13951102334005</v>
      </c>
      <c r="AB122" s="223">
        <v>154.13951102334005</v>
      </c>
      <c r="AC122" s="223">
        <v>155.18855612445003</v>
      </c>
      <c r="AD122" s="223">
        <v>155.64950564127005</v>
      </c>
      <c r="AE122" s="223">
        <v>158.10326427228009</v>
      </c>
      <c r="AF122" s="223">
        <v>157.64231475546009</v>
      </c>
      <c r="AG122" s="223">
        <v>154.13951102334005</v>
      </c>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row>
    <row r="123" spans="1:62" x14ac:dyDescent="0.25">
      <c r="A123" s="204" t="s">
        <v>189</v>
      </c>
      <c r="B123" s="204" t="s">
        <v>352</v>
      </c>
      <c r="C123" s="204" t="s">
        <v>383</v>
      </c>
      <c r="D123" s="204" t="s">
        <v>193</v>
      </c>
      <c r="E123" s="204" t="s">
        <v>333</v>
      </c>
      <c r="F123" s="223">
        <v>157.92845961846001</v>
      </c>
      <c r="G123" s="223">
        <v>158.8364419013399</v>
      </c>
      <c r="H123" s="223">
        <v>158.29631375429997</v>
      </c>
      <c r="I123" s="223">
        <v>161.23445426693991</v>
      </c>
      <c r="J123" s="223">
        <v>161.05052719901994</v>
      </c>
      <c r="K123" s="223">
        <v>157.92845961846001</v>
      </c>
      <c r="L123" s="223">
        <v>158.65251483341996</v>
      </c>
      <c r="M123" s="223">
        <v>158.8364419013399</v>
      </c>
      <c r="N123" s="223">
        <v>158.29631375429997</v>
      </c>
      <c r="O123" s="223">
        <v>161.05052719901994</v>
      </c>
      <c r="P123" s="223">
        <v>157.92845961846001</v>
      </c>
      <c r="Q123" s="223">
        <v>157.92845961846001</v>
      </c>
      <c r="R123" s="223">
        <v>158.65251483341996</v>
      </c>
      <c r="S123" s="223">
        <v>158.29631375429997</v>
      </c>
      <c r="T123" s="223">
        <v>161.23445426693991</v>
      </c>
      <c r="U123" s="223">
        <v>161.05052719901994</v>
      </c>
      <c r="V123" s="223">
        <v>157.92845961846001</v>
      </c>
      <c r="W123" s="223">
        <v>158.65251483341996</v>
      </c>
      <c r="X123" s="223">
        <v>158.8364419013399</v>
      </c>
      <c r="Y123" s="223">
        <v>158.29631375429997</v>
      </c>
      <c r="Z123" s="223">
        <v>161.23445426693991</v>
      </c>
      <c r="AA123" s="223">
        <v>157.92845961846001</v>
      </c>
      <c r="AB123" s="223">
        <v>157.92845961846001</v>
      </c>
      <c r="AC123" s="223">
        <v>158.65251483341996</v>
      </c>
      <c r="AD123" s="223">
        <v>158.8364419013399</v>
      </c>
      <c r="AE123" s="223">
        <v>161.23445426693991</v>
      </c>
      <c r="AF123" s="223">
        <v>161.05052719901994</v>
      </c>
      <c r="AG123" s="223">
        <v>157.92845961846001</v>
      </c>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row>
    <row r="124" spans="1:62" x14ac:dyDescent="0.25">
      <c r="A124" s="204" t="s">
        <v>189</v>
      </c>
      <c r="B124" s="204" t="s">
        <v>352</v>
      </c>
      <c r="C124" s="204" t="s">
        <v>384</v>
      </c>
      <c r="D124" s="204" t="s">
        <v>198</v>
      </c>
      <c r="E124" s="204" t="s">
        <v>333</v>
      </c>
      <c r="F124" s="223">
        <v>133.89232279470005</v>
      </c>
      <c r="G124" s="223">
        <v>134.94262628814013</v>
      </c>
      <c r="H124" s="223">
        <v>134.52225050322011</v>
      </c>
      <c r="I124" s="223">
        <v>137.09137906278013</v>
      </c>
      <c r="J124" s="223">
        <v>136.77641520852012</v>
      </c>
      <c r="K124" s="223">
        <v>133.89232279470005</v>
      </c>
      <c r="L124" s="223">
        <v>134.62766243388012</v>
      </c>
      <c r="M124" s="223">
        <v>134.94262628814013</v>
      </c>
      <c r="N124" s="223">
        <v>134.52225050322011</v>
      </c>
      <c r="O124" s="223">
        <v>136.77641520852012</v>
      </c>
      <c r="P124" s="223">
        <v>133.89232279470005</v>
      </c>
      <c r="Q124" s="223">
        <v>133.89232279470005</v>
      </c>
      <c r="R124" s="223">
        <v>134.62766243388012</v>
      </c>
      <c r="S124" s="223">
        <v>134.52225050322011</v>
      </c>
      <c r="T124" s="223">
        <v>137.09137906278013</v>
      </c>
      <c r="U124" s="223">
        <v>136.77641520852012</v>
      </c>
      <c r="V124" s="223">
        <v>133.89232279470005</v>
      </c>
      <c r="W124" s="223">
        <v>134.62766243388012</v>
      </c>
      <c r="X124" s="223">
        <v>134.94262628814013</v>
      </c>
      <c r="Y124" s="223">
        <v>134.52225050322011</v>
      </c>
      <c r="Z124" s="223">
        <v>137.09137906278013</v>
      </c>
      <c r="AA124" s="223">
        <v>133.89232279470005</v>
      </c>
      <c r="AB124" s="223">
        <v>133.89232279470005</v>
      </c>
      <c r="AC124" s="223">
        <v>134.62766243388012</v>
      </c>
      <c r="AD124" s="223">
        <v>134.94262628814013</v>
      </c>
      <c r="AE124" s="223">
        <v>137.09137906278013</v>
      </c>
      <c r="AF124" s="223">
        <v>136.77641520852012</v>
      </c>
      <c r="AG124" s="223">
        <v>133.89232279470005</v>
      </c>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row>
    <row r="125" spans="1:62" x14ac:dyDescent="0.25">
      <c r="A125" s="204" t="s">
        <v>189</v>
      </c>
      <c r="B125" s="204" t="s">
        <v>352</v>
      </c>
      <c r="C125" s="204" t="s">
        <v>385</v>
      </c>
      <c r="D125" s="204" t="s">
        <v>203</v>
      </c>
      <c r="E125" s="204" t="s">
        <v>333</v>
      </c>
      <c r="F125" s="223">
        <v>83.67809269866008</v>
      </c>
      <c r="G125" s="223">
        <v>85.085140461299972</v>
      </c>
      <c r="H125" s="223">
        <v>84.660508963379968</v>
      </c>
      <c r="I125" s="223">
        <v>86.467530582659975</v>
      </c>
      <c r="J125" s="223">
        <v>85.976322450299975</v>
      </c>
      <c r="K125" s="223">
        <v>83.67809269866008</v>
      </c>
      <c r="L125" s="223">
        <v>84.593932328940014</v>
      </c>
      <c r="M125" s="223">
        <v>85.085140461299972</v>
      </c>
      <c r="N125" s="223">
        <v>84.660508963379968</v>
      </c>
      <c r="O125" s="223">
        <v>85.976322450299975</v>
      </c>
      <c r="P125" s="223">
        <v>83.67809269866008</v>
      </c>
      <c r="Q125" s="223">
        <v>83.67809269866008</v>
      </c>
      <c r="R125" s="223">
        <v>84.593932328940014</v>
      </c>
      <c r="S125" s="223">
        <v>84.660508963379968</v>
      </c>
      <c r="T125" s="223">
        <v>86.467530582659975</v>
      </c>
      <c r="U125" s="223">
        <v>85.976322450299975</v>
      </c>
      <c r="V125" s="223">
        <v>83.67809269866008</v>
      </c>
      <c r="W125" s="223">
        <v>84.593932328940014</v>
      </c>
      <c r="X125" s="223">
        <v>85.085140461299972</v>
      </c>
      <c r="Y125" s="223">
        <v>84.660508963379968</v>
      </c>
      <c r="Z125" s="223">
        <v>86.467530582659975</v>
      </c>
      <c r="AA125" s="223">
        <v>83.67809269866008</v>
      </c>
      <c r="AB125" s="223">
        <v>83.67809269866008</v>
      </c>
      <c r="AC125" s="223">
        <v>84.593932328940014</v>
      </c>
      <c r="AD125" s="223">
        <v>85.085140461299972</v>
      </c>
      <c r="AE125" s="223">
        <v>86.467530582659975</v>
      </c>
      <c r="AF125" s="223">
        <v>85.976322450299975</v>
      </c>
      <c r="AG125" s="223">
        <v>83.67809269866008</v>
      </c>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row>
    <row r="126" spans="1:62" x14ac:dyDescent="0.25">
      <c r="A126" s="204" t="s">
        <v>189</v>
      </c>
      <c r="B126" s="204" t="s">
        <v>352</v>
      </c>
      <c r="C126" s="204" t="s">
        <v>386</v>
      </c>
      <c r="D126" s="204" t="s">
        <v>207</v>
      </c>
      <c r="E126" s="204" t="s">
        <v>333</v>
      </c>
      <c r="F126" s="223">
        <v>4.7480521306799996</v>
      </c>
      <c r="G126" s="223">
        <v>5.0224217738399997</v>
      </c>
      <c r="H126" s="223">
        <v>4.9828431364799997</v>
      </c>
      <c r="I126" s="223">
        <v>5.1398172767399988</v>
      </c>
      <c r="J126" s="223">
        <v>5.0224217738399997</v>
      </c>
      <c r="K126" s="223">
        <v>4.7480521306799996</v>
      </c>
      <c r="L126" s="223">
        <v>4.9050262709399997</v>
      </c>
      <c r="M126" s="223">
        <v>5.0224217738399997</v>
      </c>
      <c r="N126" s="223">
        <v>4.9828431364799997</v>
      </c>
      <c r="O126" s="223">
        <v>5.0224217738399997</v>
      </c>
      <c r="P126" s="223">
        <v>4.7480521306799996</v>
      </c>
      <c r="Q126" s="223">
        <v>4.7480521306799996</v>
      </c>
      <c r="R126" s="223">
        <v>4.9050262709399997</v>
      </c>
      <c r="S126" s="223">
        <v>4.9828431364799997</v>
      </c>
      <c r="T126" s="223">
        <v>5.1398172767399988</v>
      </c>
      <c r="U126" s="223">
        <v>5.0224217738399997</v>
      </c>
      <c r="V126" s="223">
        <v>4.7480521306799996</v>
      </c>
      <c r="W126" s="223">
        <v>4.9050262709399997</v>
      </c>
      <c r="X126" s="223">
        <v>5.0224217738399997</v>
      </c>
      <c r="Y126" s="223">
        <v>4.9828431364799997</v>
      </c>
      <c r="Z126" s="223">
        <v>5.1398172767399988</v>
      </c>
      <c r="AA126" s="223">
        <v>4.7480521306799996</v>
      </c>
      <c r="AB126" s="223">
        <v>4.7480521306799996</v>
      </c>
      <c r="AC126" s="223">
        <v>4.9050262709399997</v>
      </c>
      <c r="AD126" s="223">
        <v>5.0224217738399997</v>
      </c>
      <c r="AE126" s="223">
        <v>5.1398172767399988</v>
      </c>
      <c r="AF126" s="223">
        <v>5.0224217738399997</v>
      </c>
      <c r="AG126" s="223">
        <v>4.7480521306799996</v>
      </c>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row>
    <row r="127" spans="1:62" x14ac:dyDescent="0.25">
      <c r="A127" s="204" t="s">
        <v>189</v>
      </c>
      <c r="B127" s="204" t="s">
        <v>352</v>
      </c>
      <c r="C127" s="204" t="s">
        <v>387</v>
      </c>
      <c r="D127" s="204" t="s">
        <v>354</v>
      </c>
      <c r="E127" s="204" t="s">
        <v>333</v>
      </c>
      <c r="F127" s="223">
        <v>151.65203456322038</v>
      </c>
      <c r="G127" s="223">
        <v>153.20157260160039</v>
      </c>
      <c r="H127" s="223">
        <v>152.60388320694034</v>
      </c>
      <c r="I127" s="223">
        <v>155.60422269594036</v>
      </c>
      <c r="J127" s="223">
        <v>155.12829837408037</v>
      </c>
      <c r="K127" s="223">
        <v>151.65203456322038</v>
      </c>
      <c r="L127" s="223">
        <v>152.72564827974043</v>
      </c>
      <c r="M127" s="223">
        <v>153.20157260160039</v>
      </c>
      <c r="N127" s="223">
        <v>152.60388320694034</v>
      </c>
      <c r="O127" s="223">
        <v>155.12829837408037</v>
      </c>
      <c r="P127" s="223">
        <v>151.65203456322038</v>
      </c>
      <c r="Q127" s="223">
        <v>151.65203456322038</v>
      </c>
      <c r="R127" s="223">
        <v>152.72564827974043</v>
      </c>
      <c r="S127" s="223">
        <v>152.60388320694034</v>
      </c>
      <c r="T127" s="223">
        <v>155.60422269594036</v>
      </c>
      <c r="U127" s="223">
        <v>155.12829837408037</v>
      </c>
      <c r="V127" s="223">
        <v>151.65203456322038</v>
      </c>
      <c r="W127" s="223">
        <v>152.72564827974043</v>
      </c>
      <c r="X127" s="223">
        <v>153.20157260160039</v>
      </c>
      <c r="Y127" s="223">
        <v>152.60388320694034</v>
      </c>
      <c r="Z127" s="223">
        <v>155.60422269594036</v>
      </c>
      <c r="AA127" s="223">
        <v>151.65203456322038</v>
      </c>
      <c r="AB127" s="223">
        <v>151.65203456322038</v>
      </c>
      <c r="AC127" s="223">
        <v>152.72564827974043</v>
      </c>
      <c r="AD127" s="223">
        <v>153.20157260160039</v>
      </c>
      <c r="AE127" s="223">
        <v>155.60422269594036</v>
      </c>
      <c r="AF127" s="223">
        <v>155.12829837408037</v>
      </c>
      <c r="AG127" s="223">
        <v>151.65203456322038</v>
      </c>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row>
    <row r="128" spans="1:62" x14ac:dyDescent="0.25">
      <c r="A128" s="204" t="s">
        <v>189</v>
      </c>
      <c r="B128" s="204" t="s">
        <v>352</v>
      </c>
      <c r="C128" s="204" t="s">
        <v>388</v>
      </c>
      <c r="D128" s="204" t="s">
        <v>193</v>
      </c>
      <c r="E128" s="204" t="s">
        <v>334</v>
      </c>
      <c r="F128" s="223">
        <v>157.92845961846001</v>
      </c>
      <c r="G128" s="223">
        <v>158.8364419013399</v>
      </c>
      <c r="H128" s="223">
        <v>158.29631375429997</v>
      </c>
      <c r="I128" s="223">
        <v>161.23445426693991</v>
      </c>
      <c r="J128" s="223">
        <v>161.05052719901994</v>
      </c>
      <c r="K128" s="223">
        <v>157.92845961846001</v>
      </c>
      <c r="L128" s="223">
        <v>158.65251483341996</v>
      </c>
      <c r="M128" s="223">
        <v>158.8364419013399</v>
      </c>
      <c r="N128" s="223">
        <v>158.29631375429997</v>
      </c>
      <c r="O128" s="223">
        <v>161.05052719901994</v>
      </c>
      <c r="P128" s="223">
        <v>157.92845961846001</v>
      </c>
      <c r="Q128" s="223">
        <v>157.92845961846001</v>
      </c>
      <c r="R128" s="223">
        <v>158.65251483341996</v>
      </c>
      <c r="S128" s="223">
        <v>158.29631375429997</v>
      </c>
      <c r="T128" s="223">
        <v>161.23445426693991</v>
      </c>
      <c r="U128" s="223">
        <v>161.05052719901994</v>
      </c>
      <c r="V128" s="223">
        <v>157.92845961846001</v>
      </c>
      <c r="W128" s="223">
        <v>158.65251483341996</v>
      </c>
      <c r="X128" s="223">
        <v>158.8364419013399</v>
      </c>
      <c r="Y128" s="223">
        <v>158.29631375429997</v>
      </c>
      <c r="Z128" s="223">
        <v>161.23445426693991</v>
      </c>
      <c r="AA128" s="223">
        <v>157.92845961846001</v>
      </c>
      <c r="AB128" s="223">
        <v>157.92845961846001</v>
      </c>
      <c r="AC128" s="223">
        <v>158.65251483341996</v>
      </c>
      <c r="AD128" s="223">
        <v>158.8364419013399</v>
      </c>
      <c r="AE128" s="223">
        <v>161.23445426693991</v>
      </c>
      <c r="AF128" s="223">
        <v>161.05052719901994</v>
      </c>
      <c r="AG128" s="223">
        <v>157.92845961846001</v>
      </c>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row>
    <row r="129" spans="1:62" x14ac:dyDescent="0.25">
      <c r="A129" s="204" t="s">
        <v>189</v>
      </c>
      <c r="B129" s="204" t="s">
        <v>352</v>
      </c>
      <c r="C129" s="204" t="s">
        <v>389</v>
      </c>
      <c r="D129" s="204" t="s">
        <v>198</v>
      </c>
      <c r="E129" s="204" t="s">
        <v>334</v>
      </c>
      <c r="F129" s="223">
        <v>133.89232279470005</v>
      </c>
      <c r="G129" s="223">
        <v>134.94262628814013</v>
      </c>
      <c r="H129" s="223">
        <v>134.52225050322011</v>
      </c>
      <c r="I129" s="223">
        <v>137.09137906278013</v>
      </c>
      <c r="J129" s="223">
        <v>136.77641520852012</v>
      </c>
      <c r="K129" s="223">
        <v>133.89232279470005</v>
      </c>
      <c r="L129" s="223">
        <v>134.62766243388012</v>
      </c>
      <c r="M129" s="223">
        <v>134.94262628814013</v>
      </c>
      <c r="N129" s="223">
        <v>134.52225050322011</v>
      </c>
      <c r="O129" s="223">
        <v>136.77641520852012</v>
      </c>
      <c r="P129" s="223">
        <v>133.89232279470005</v>
      </c>
      <c r="Q129" s="223">
        <v>133.89232279470005</v>
      </c>
      <c r="R129" s="223">
        <v>134.62766243388012</v>
      </c>
      <c r="S129" s="223">
        <v>134.52225050322011</v>
      </c>
      <c r="T129" s="223">
        <v>137.09137906278013</v>
      </c>
      <c r="U129" s="223">
        <v>136.77641520852012</v>
      </c>
      <c r="V129" s="223">
        <v>133.89232279470005</v>
      </c>
      <c r="W129" s="223">
        <v>134.62766243388012</v>
      </c>
      <c r="X129" s="223">
        <v>134.94262628814013</v>
      </c>
      <c r="Y129" s="223">
        <v>134.52225050322011</v>
      </c>
      <c r="Z129" s="223">
        <v>137.09137906278013</v>
      </c>
      <c r="AA129" s="223">
        <v>133.89232279470005</v>
      </c>
      <c r="AB129" s="223">
        <v>133.89232279470005</v>
      </c>
      <c r="AC129" s="223">
        <v>134.62766243388012</v>
      </c>
      <c r="AD129" s="223">
        <v>134.94262628814013</v>
      </c>
      <c r="AE129" s="223">
        <v>137.09137906278013</v>
      </c>
      <c r="AF129" s="223">
        <v>136.77641520852012</v>
      </c>
      <c r="AG129" s="223">
        <v>133.89232279470005</v>
      </c>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row>
    <row r="130" spans="1:62" x14ac:dyDescent="0.25">
      <c r="A130" s="204" t="s">
        <v>189</v>
      </c>
      <c r="B130" s="204" t="s">
        <v>352</v>
      </c>
      <c r="C130" s="204" t="s">
        <v>390</v>
      </c>
      <c r="D130" s="204" t="s">
        <v>203</v>
      </c>
      <c r="E130" s="204" t="s">
        <v>334</v>
      </c>
      <c r="F130" s="223">
        <v>83.67809269866008</v>
      </c>
      <c r="G130" s="223">
        <v>85.085140461299972</v>
      </c>
      <c r="H130" s="223">
        <v>84.660508963379968</v>
      </c>
      <c r="I130" s="223">
        <v>86.467530582659975</v>
      </c>
      <c r="J130" s="223">
        <v>85.976322450299975</v>
      </c>
      <c r="K130" s="223">
        <v>83.67809269866008</v>
      </c>
      <c r="L130" s="223">
        <v>84.593932328940014</v>
      </c>
      <c r="M130" s="223">
        <v>85.085140461299972</v>
      </c>
      <c r="N130" s="223">
        <v>84.660508963379968</v>
      </c>
      <c r="O130" s="223">
        <v>85.976322450299975</v>
      </c>
      <c r="P130" s="223">
        <v>83.67809269866008</v>
      </c>
      <c r="Q130" s="223">
        <v>83.67809269866008</v>
      </c>
      <c r="R130" s="223">
        <v>84.593932328940014</v>
      </c>
      <c r="S130" s="223">
        <v>84.660508963379968</v>
      </c>
      <c r="T130" s="223">
        <v>86.467530582659975</v>
      </c>
      <c r="U130" s="223">
        <v>85.976322450299975</v>
      </c>
      <c r="V130" s="223">
        <v>83.67809269866008</v>
      </c>
      <c r="W130" s="223">
        <v>84.593932328940014</v>
      </c>
      <c r="X130" s="223">
        <v>85.085140461299972</v>
      </c>
      <c r="Y130" s="223">
        <v>84.660508963379968</v>
      </c>
      <c r="Z130" s="223">
        <v>86.467530582659975</v>
      </c>
      <c r="AA130" s="223">
        <v>83.67809269866008</v>
      </c>
      <c r="AB130" s="223">
        <v>83.67809269866008</v>
      </c>
      <c r="AC130" s="223">
        <v>84.593932328940014</v>
      </c>
      <c r="AD130" s="223">
        <v>85.085140461299972</v>
      </c>
      <c r="AE130" s="223">
        <v>86.467530582659975</v>
      </c>
      <c r="AF130" s="223">
        <v>85.976322450299975</v>
      </c>
      <c r="AG130" s="223">
        <v>83.67809269866008</v>
      </c>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row>
    <row r="131" spans="1:62" x14ac:dyDescent="0.25">
      <c r="A131" s="204" t="s">
        <v>189</v>
      </c>
      <c r="B131" s="204" t="s">
        <v>352</v>
      </c>
      <c r="C131" s="204" t="s">
        <v>391</v>
      </c>
      <c r="D131" s="204" t="s">
        <v>207</v>
      </c>
      <c r="E131" s="204" t="s">
        <v>334</v>
      </c>
      <c r="F131" s="223">
        <v>4.7480521306799996</v>
      </c>
      <c r="G131" s="223">
        <v>5.0224217738399997</v>
      </c>
      <c r="H131" s="223">
        <v>4.9828431364799997</v>
      </c>
      <c r="I131" s="223">
        <v>5.1398172767399988</v>
      </c>
      <c r="J131" s="223">
        <v>5.0224217738399997</v>
      </c>
      <c r="K131" s="223">
        <v>4.7480521306799996</v>
      </c>
      <c r="L131" s="223">
        <v>4.9050262709399997</v>
      </c>
      <c r="M131" s="223">
        <v>5.0224217738399997</v>
      </c>
      <c r="N131" s="223">
        <v>4.9828431364799997</v>
      </c>
      <c r="O131" s="223">
        <v>5.0224217738399997</v>
      </c>
      <c r="P131" s="223">
        <v>4.7480521306799996</v>
      </c>
      <c r="Q131" s="223">
        <v>4.7480521306799996</v>
      </c>
      <c r="R131" s="223">
        <v>4.9050262709399997</v>
      </c>
      <c r="S131" s="223">
        <v>4.9828431364799997</v>
      </c>
      <c r="T131" s="223">
        <v>5.1398172767399988</v>
      </c>
      <c r="U131" s="223">
        <v>5.0224217738399997</v>
      </c>
      <c r="V131" s="223">
        <v>4.7480521306799996</v>
      </c>
      <c r="W131" s="223">
        <v>4.9050262709399997</v>
      </c>
      <c r="X131" s="223">
        <v>5.0224217738399997</v>
      </c>
      <c r="Y131" s="223">
        <v>4.9828431364799997</v>
      </c>
      <c r="Z131" s="223">
        <v>5.1398172767399988</v>
      </c>
      <c r="AA131" s="223">
        <v>4.7480521306799996</v>
      </c>
      <c r="AB131" s="223">
        <v>4.7480521306799996</v>
      </c>
      <c r="AC131" s="223">
        <v>4.9050262709399997</v>
      </c>
      <c r="AD131" s="223">
        <v>5.0224217738399997</v>
      </c>
      <c r="AE131" s="223">
        <v>5.1398172767399988</v>
      </c>
      <c r="AF131" s="223">
        <v>5.0224217738399997</v>
      </c>
      <c r="AG131" s="223">
        <v>4.7480521306799996</v>
      </c>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row>
    <row r="132" spans="1:62" x14ac:dyDescent="0.25">
      <c r="A132" s="204" t="s">
        <v>189</v>
      </c>
      <c r="B132" s="204" t="s">
        <v>352</v>
      </c>
      <c r="C132" s="204" t="s">
        <v>392</v>
      </c>
      <c r="D132" s="204" t="s">
        <v>354</v>
      </c>
      <c r="E132" s="204" t="s">
        <v>334</v>
      </c>
      <c r="F132" s="223">
        <v>151.65203456322038</v>
      </c>
      <c r="G132" s="223">
        <v>153.20157260160039</v>
      </c>
      <c r="H132" s="223">
        <v>152.60388320694034</v>
      </c>
      <c r="I132" s="223">
        <v>155.60422269594036</v>
      </c>
      <c r="J132" s="223">
        <v>155.12829837408037</v>
      </c>
      <c r="K132" s="223">
        <v>151.65203456322038</v>
      </c>
      <c r="L132" s="223">
        <v>152.72564827974043</v>
      </c>
      <c r="M132" s="223">
        <v>153.20157260160039</v>
      </c>
      <c r="N132" s="223">
        <v>152.60388320694034</v>
      </c>
      <c r="O132" s="223">
        <v>155.12829837408037</v>
      </c>
      <c r="P132" s="223">
        <v>151.65203456322038</v>
      </c>
      <c r="Q132" s="223">
        <v>151.65203456322038</v>
      </c>
      <c r="R132" s="223">
        <v>152.72564827974043</v>
      </c>
      <c r="S132" s="223">
        <v>152.60388320694034</v>
      </c>
      <c r="T132" s="223">
        <v>155.60422269594036</v>
      </c>
      <c r="U132" s="223">
        <v>155.12829837408037</v>
      </c>
      <c r="V132" s="223">
        <v>151.65203456322038</v>
      </c>
      <c r="W132" s="223">
        <v>152.72564827974043</v>
      </c>
      <c r="X132" s="223">
        <v>153.20157260160039</v>
      </c>
      <c r="Y132" s="223">
        <v>152.60388320694034</v>
      </c>
      <c r="Z132" s="223">
        <v>155.60422269594036</v>
      </c>
      <c r="AA132" s="223">
        <v>151.65203456322038</v>
      </c>
      <c r="AB132" s="223">
        <v>151.65203456322038</v>
      </c>
      <c r="AC132" s="223">
        <v>152.72564827974043</v>
      </c>
      <c r="AD132" s="223">
        <v>153.20157260160039</v>
      </c>
      <c r="AE132" s="223">
        <v>155.60422269594036</v>
      </c>
      <c r="AF132" s="223">
        <v>155.12829837408037</v>
      </c>
      <c r="AG132" s="223">
        <v>151.65203456322038</v>
      </c>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row>
    <row r="133" spans="1:62" x14ac:dyDescent="0.25">
      <c r="A133" s="204" t="s">
        <v>189</v>
      </c>
      <c r="B133" s="204" t="s">
        <v>352</v>
      </c>
      <c r="C133" s="204" t="s">
        <v>393</v>
      </c>
      <c r="D133" s="204" t="s">
        <v>193</v>
      </c>
      <c r="E133" s="204" t="s">
        <v>335</v>
      </c>
      <c r="F133" s="223">
        <v>157.92845961846001</v>
      </c>
      <c r="G133" s="223">
        <v>158.8364419013399</v>
      </c>
      <c r="H133" s="223">
        <v>158.29631375429997</v>
      </c>
      <c r="I133" s="223">
        <v>161.23445426693991</v>
      </c>
      <c r="J133" s="223">
        <v>161.05052719901994</v>
      </c>
      <c r="K133" s="223">
        <v>157.92845961846001</v>
      </c>
      <c r="L133" s="223">
        <v>158.65251483341996</v>
      </c>
      <c r="M133" s="223">
        <v>158.8364419013399</v>
      </c>
      <c r="N133" s="223">
        <v>158.29631375429997</v>
      </c>
      <c r="O133" s="223">
        <v>161.05052719901994</v>
      </c>
      <c r="P133" s="223">
        <v>157.92845961846001</v>
      </c>
      <c r="Q133" s="223">
        <v>157.92845961846001</v>
      </c>
      <c r="R133" s="223">
        <v>158.65251483341996</v>
      </c>
      <c r="S133" s="223">
        <v>158.29631375429997</v>
      </c>
      <c r="T133" s="223">
        <v>161.23445426693991</v>
      </c>
      <c r="U133" s="223">
        <v>161.05052719901994</v>
      </c>
      <c r="V133" s="223">
        <v>157.92845961846001</v>
      </c>
      <c r="W133" s="223">
        <v>158.65251483341996</v>
      </c>
      <c r="X133" s="223">
        <v>158.8364419013399</v>
      </c>
      <c r="Y133" s="223">
        <v>158.29631375429997</v>
      </c>
      <c r="Z133" s="223">
        <v>161.23445426693991</v>
      </c>
      <c r="AA133" s="223">
        <v>157.92845961846001</v>
      </c>
      <c r="AB133" s="223">
        <v>157.92845961846001</v>
      </c>
      <c r="AC133" s="223">
        <v>158.65251483341996</v>
      </c>
      <c r="AD133" s="223">
        <v>158.8364419013399</v>
      </c>
      <c r="AE133" s="223">
        <v>161.23445426693991</v>
      </c>
      <c r="AF133" s="223">
        <v>161.05052719901994</v>
      </c>
      <c r="AG133" s="223">
        <v>157.92845961846001</v>
      </c>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row>
    <row r="134" spans="1:62" x14ac:dyDescent="0.25">
      <c r="A134" s="204" t="s">
        <v>189</v>
      </c>
      <c r="B134" s="204" t="s">
        <v>352</v>
      </c>
      <c r="C134" s="204" t="s">
        <v>394</v>
      </c>
      <c r="D134" s="204" t="s">
        <v>198</v>
      </c>
      <c r="E134" s="204" t="s">
        <v>335</v>
      </c>
      <c r="F134" s="223">
        <v>133.89232279470005</v>
      </c>
      <c r="G134" s="223">
        <v>134.94262628814013</v>
      </c>
      <c r="H134" s="223">
        <v>134.52225050322011</v>
      </c>
      <c r="I134" s="223">
        <v>137.09137906278013</v>
      </c>
      <c r="J134" s="223">
        <v>136.77641520852012</v>
      </c>
      <c r="K134" s="223">
        <v>133.89232279470005</v>
      </c>
      <c r="L134" s="223">
        <v>134.62766243388012</v>
      </c>
      <c r="M134" s="223">
        <v>134.94262628814013</v>
      </c>
      <c r="N134" s="223">
        <v>134.52225050322011</v>
      </c>
      <c r="O134" s="223">
        <v>136.77641520852012</v>
      </c>
      <c r="P134" s="223">
        <v>133.89232279470005</v>
      </c>
      <c r="Q134" s="223">
        <v>133.89232279470005</v>
      </c>
      <c r="R134" s="223">
        <v>134.62766243388012</v>
      </c>
      <c r="S134" s="223">
        <v>134.52225050322011</v>
      </c>
      <c r="T134" s="223">
        <v>137.09137906278013</v>
      </c>
      <c r="U134" s="223">
        <v>136.77641520852012</v>
      </c>
      <c r="V134" s="223">
        <v>133.89232279470005</v>
      </c>
      <c r="W134" s="223">
        <v>134.62766243388012</v>
      </c>
      <c r="X134" s="223">
        <v>134.94262628814013</v>
      </c>
      <c r="Y134" s="223">
        <v>134.52225050322011</v>
      </c>
      <c r="Z134" s="223">
        <v>137.09137906278013</v>
      </c>
      <c r="AA134" s="223">
        <v>133.89232279470005</v>
      </c>
      <c r="AB134" s="223">
        <v>133.89232279470005</v>
      </c>
      <c r="AC134" s="223">
        <v>134.62766243388012</v>
      </c>
      <c r="AD134" s="223">
        <v>134.94262628814013</v>
      </c>
      <c r="AE134" s="223">
        <v>137.09137906278013</v>
      </c>
      <c r="AF134" s="223">
        <v>136.77641520852012</v>
      </c>
      <c r="AG134" s="223">
        <v>133.89232279470005</v>
      </c>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row>
    <row r="135" spans="1:62" x14ac:dyDescent="0.25">
      <c r="A135" s="204" t="s">
        <v>189</v>
      </c>
      <c r="B135" s="204" t="s">
        <v>352</v>
      </c>
      <c r="C135" s="204" t="s">
        <v>395</v>
      </c>
      <c r="D135" s="204" t="s">
        <v>203</v>
      </c>
      <c r="E135" s="204" t="s">
        <v>335</v>
      </c>
      <c r="F135" s="223">
        <v>83.67809269866008</v>
      </c>
      <c r="G135" s="223">
        <v>85.085140461299972</v>
      </c>
      <c r="H135" s="223">
        <v>84.660508963379968</v>
      </c>
      <c r="I135" s="223">
        <v>86.467530582659975</v>
      </c>
      <c r="J135" s="223">
        <v>85.976322450299975</v>
      </c>
      <c r="K135" s="223">
        <v>83.67809269866008</v>
      </c>
      <c r="L135" s="223">
        <v>84.593932328940014</v>
      </c>
      <c r="M135" s="223">
        <v>85.085140461299972</v>
      </c>
      <c r="N135" s="223">
        <v>84.660508963379968</v>
      </c>
      <c r="O135" s="223">
        <v>85.976322450299975</v>
      </c>
      <c r="P135" s="223">
        <v>83.67809269866008</v>
      </c>
      <c r="Q135" s="223">
        <v>83.67809269866008</v>
      </c>
      <c r="R135" s="223">
        <v>84.593932328940014</v>
      </c>
      <c r="S135" s="223">
        <v>84.660508963379968</v>
      </c>
      <c r="T135" s="223">
        <v>86.467530582659975</v>
      </c>
      <c r="U135" s="223">
        <v>85.976322450299975</v>
      </c>
      <c r="V135" s="223">
        <v>83.67809269866008</v>
      </c>
      <c r="W135" s="223">
        <v>84.593932328940014</v>
      </c>
      <c r="X135" s="223">
        <v>85.085140461299972</v>
      </c>
      <c r="Y135" s="223">
        <v>84.660508963379968</v>
      </c>
      <c r="Z135" s="223">
        <v>86.467530582659975</v>
      </c>
      <c r="AA135" s="223">
        <v>83.67809269866008</v>
      </c>
      <c r="AB135" s="223">
        <v>83.67809269866008</v>
      </c>
      <c r="AC135" s="223">
        <v>84.593932328940014</v>
      </c>
      <c r="AD135" s="223">
        <v>85.085140461299972</v>
      </c>
      <c r="AE135" s="223">
        <v>86.467530582659975</v>
      </c>
      <c r="AF135" s="223">
        <v>85.976322450299975</v>
      </c>
      <c r="AG135" s="223">
        <v>83.67809269866008</v>
      </c>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row>
    <row r="136" spans="1:62" x14ac:dyDescent="0.25">
      <c r="A136" s="204" t="s">
        <v>189</v>
      </c>
      <c r="B136" s="204" t="s">
        <v>352</v>
      </c>
      <c r="C136" s="204" t="s">
        <v>396</v>
      </c>
      <c r="D136" s="204" t="s">
        <v>207</v>
      </c>
      <c r="E136" s="204" t="s">
        <v>335</v>
      </c>
      <c r="F136" s="223">
        <v>4.7480521306799996</v>
      </c>
      <c r="G136" s="223">
        <v>5.0224217738399997</v>
      </c>
      <c r="H136" s="223">
        <v>4.9828431364799997</v>
      </c>
      <c r="I136" s="223">
        <v>5.1398172767399988</v>
      </c>
      <c r="J136" s="223">
        <v>5.0224217738399997</v>
      </c>
      <c r="K136" s="223">
        <v>4.7480521306799996</v>
      </c>
      <c r="L136" s="223">
        <v>4.9050262709399997</v>
      </c>
      <c r="M136" s="223">
        <v>5.0224217738399997</v>
      </c>
      <c r="N136" s="223">
        <v>4.9828431364799997</v>
      </c>
      <c r="O136" s="223">
        <v>5.0224217738399997</v>
      </c>
      <c r="P136" s="223">
        <v>4.7480521306799996</v>
      </c>
      <c r="Q136" s="223">
        <v>4.7480521306799996</v>
      </c>
      <c r="R136" s="223">
        <v>4.9050262709399997</v>
      </c>
      <c r="S136" s="223">
        <v>4.9828431364799997</v>
      </c>
      <c r="T136" s="223">
        <v>5.1398172767399988</v>
      </c>
      <c r="U136" s="223">
        <v>5.0224217738399997</v>
      </c>
      <c r="V136" s="223">
        <v>4.7480521306799996</v>
      </c>
      <c r="W136" s="223">
        <v>4.9050262709399997</v>
      </c>
      <c r="X136" s="223">
        <v>5.0224217738399997</v>
      </c>
      <c r="Y136" s="223">
        <v>4.9828431364799997</v>
      </c>
      <c r="Z136" s="223">
        <v>5.1398172767399988</v>
      </c>
      <c r="AA136" s="223">
        <v>4.7480521306799996</v>
      </c>
      <c r="AB136" s="223">
        <v>4.7480521306799996</v>
      </c>
      <c r="AC136" s="223">
        <v>4.9050262709399997</v>
      </c>
      <c r="AD136" s="223">
        <v>5.0224217738399997</v>
      </c>
      <c r="AE136" s="223">
        <v>5.1398172767399988</v>
      </c>
      <c r="AF136" s="223">
        <v>5.0224217738399997</v>
      </c>
      <c r="AG136" s="223">
        <v>4.7480521306799996</v>
      </c>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row>
    <row r="137" spans="1:62" x14ac:dyDescent="0.25">
      <c r="A137" s="204" t="s">
        <v>189</v>
      </c>
      <c r="B137" s="204" t="s">
        <v>352</v>
      </c>
      <c r="C137" s="204" t="s">
        <v>397</v>
      </c>
      <c r="D137" s="204" t="s">
        <v>354</v>
      </c>
      <c r="E137" s="204" t="s">
        <v>336</v>
      </c>
      <c r="F137" s="223">
        <v>203.99710334615997</v>
      </c>
      <c r="G137" s="223">
        <v>201.7978757632799</v>
      </c>
      <c r="H137" s="223">
        <v>201.80363754065991</v>
      </c>
      <c r="I137" s="223">
        <v>208.24046012147974</v>
      </c>
      <c r="J137" s="223">
        <v>207.82932957203982</v>
      </c>
      <c r="K137" s="223">
        <v>203.99710334615997</v>
      </c>
      <c r="L137" s="223">
        <v>204.40247211821992</v>
      </c>
      <c r="M137" s="223">
        <v>201.7978757632799</v>
      </c>
      <c r="N137" s="223">
        <v>201.80363754065991</v>
      </c>
      <c r="O137" s="223">
        <v>207.82932957203982</v>
      </c>
      <c r="P137" s="223">
        <v>203.99710334615997</v>
      </c>
      <c r="Q137" s="223">
        <v>203.99710334615997</v>
      </c>
      <c r="R137" s="223">
        <v>204.40247211821992</v>
      </c>
      <c r="S137" s="223">
        <v>201.80363754065991</v>
      </c>
      <c r="T137" s="223">
        <v>208.24046012147974</v>
      </c>
      <c r="U137" s="223">
        <v>207.82932957203982</v>
      </c>
      <c r="V137" s="223">
        <v>203.99710334615997</v>
      </c>
      <c r="W137" s="223">
        <v>204.40247211821992</v>
      </c>
      <c r="X137" s="223">
        <v>201.7978757632799</v>
      </c>
      <c r="Y137" s="223">
        <v>201.80363754065991</v>
      </c>
      <c r="Z137" s="223">
        <v>208.24046012147974</v>
      </c>
      <c r="AA137" s="223">
        <v>203.99710334615997</v>
      </c>
      <c r="AB137" s="223">
        <v>203.99710334615997</v>
      </c>
      <c r="AC137" s="223">
        <v>204.40247211821992</v>
      </c>
      <c r="AD137" s="223">
        <v>201.7978757632799</v>
      </c>
      <c r="AE137" s="223">
        <v>208.24046012147974</v>
      </c>
      <c r="AF137" s="223">
        <v>207.82932957203982</v>
      </c>
      <c r="AG137" s="223">
        <v>203.99710334615997</v>
      </c>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row>
    <row r="138" spans="1:62" x14ac:dyDescent="0.25">
      <c r="B138" s="204" t="s">
        <v>398</v>
      </c>
    </row>
    <row r="140" spans="1:62" x14ac:dyDescent="0.25">
      <c r="A140" s="204" t="s">
        <v>309</v>
      </c>
      <c r="B140" s="204" t="s">
        <v>310</v>
      </c>
      <c r="C140" s="204" t="s">
        <v>399</v>
      </c>
      <c r="D140" s="204" t="s">
        <v>173</v>
      </c>
      <c r="E140" s="204" t="s">
        <v>313</v>
      </c>
      <c r="F140" s="219">
        <v>2023</v>
      </c>
      <c r="G140" s="219">
        <v>2024</v>
      </c>
      <c r="H140" s="219">
        <v>2025</v>
      </c>
      <c r="I140" s="219">
        <v>2026</v>
      </c>
      <c r="J140" s="219">
        <v>2027</v>
      </c>
      <c r="K140" s="219">
        <v>2028</v>
      </c>
      <c r="L140" s="219">
        <v>2029</v>
      </c>
      <c r="M140" s="219">
        <v>2030</v>
      </c>
      <c r="N140" s="219">
        <v>2031</v>
      </c>
      <c r="O140" s="219">
        <v>2032</v>
      </c>
      <c r="P140" s="219">
        <v>2033</v>
      </c>
      <c r="Q140" s="219">
        <v>2034</v>
      </c>
      <c r="R140" s="219">
        <v>2035</v>
      </c>
      <c r="S140" s="219">
        <v>2036</v>
      </c>
      <c r="T140" s="219">
        <v>2037</v>
      </c>
      <c r="U140" s="219">
        <v>2038</v>
      </c>
      <c r="V140" s="219">
        <v>2039</v>
      </c>
      <c r="W140" s="219">
        <v>2040</v>
      </c>
      <c r="X140" s="219">
        <v>2041</v>
      </c>
      <c r="Y140" s="219">
        <v>2042</v>
      </c>
      <c r="Z140" s="219">
        <v>2043</v>
      </c>
      <c r="AA140" s="219">
        <v>2044</v>
      </c>
      <c r="AB140" s="219">
        <v>2045</v>
      </c>
      <c r="AC140" s="219">
        <v>2046</v>
      </c>
      <c r="AD140" s="219">
        <v>2047</v>
      </c>
      <c r="AE140" s="219">
        <v>2048</v>
      </c>
      <c r="AF140" s="219">
        <v>2049</v>
      </c>
      <c r="AG140" s="219">
        <v>2050</v>
      </c>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row>
    <row r="141" spans="1:62" x14ac:dyDescent="0.25">
      <c r="A141" s="204" t="s">
        <v>199</v>
      </c>
      <c r="B141" s="204" t="s">
        <v>400</v>
      </c>
      <c r="C141" s="204" t="s">
        <v>409</v>
      </c>
      <c r="D141" s="204" t="s">
        <v>188</v>
      </c>
      <c r="E141" s="204" t="s">
        <v>213</v>
      </c>
      <c r="F141" s="225">
        <v>0.22</v>
      </c>
      <c r="G141" s="225">
        <v>0.20799999999999999</v>
      </c>
      <c r="H141" s="225">
        <v>0.20799999999999999</v>
      </c>
      <c r="I141" s="225">
        <v>0.20899999999999999</v>
      </c>
      <c r="J141" s="225">
        <v>0.20100000000000001</v>
      </c>
      <c r="K141" s="225">
        <v>0.19500000000000001</v>
      </c>
      <c r="L141" s="225">
        <v>0.19</v>
      </c>
      <c r="M141" s="225">
        <v>0.193</v>
      </c>
      <c r="N141" s="225">
        <v>0.191</v>
      </c>
      <c r="O141" s="225">
        <v>0.189</v>
      </c>
      <c r="P141" s="225">
        <v>0.184</v>
      </c>
      <c r="Q141" s="225">
        <v>0.18</v>
      </c>
      <c r="R141" s="225">
        <v>0.17899999999999999</v>
      </c>
      <c r="S141" s="225">
        <v>0.17699999999999999</v>
      </c>
      <c r="T141" s="225">
        <v>0.17799999999999999</v>
      </c>
      <c r="U141" s="225">
        <v>0.17599999999999999</v>
      </c>
      <c r="V141" s="225">
        <v>0.17299999999999999</v>
      </c>
      <c r="W141" s="225">
        <v>0.17399999999999999</v>
      </c>
      <c r="X141" s="225">
        <v>0.17</v>
      </c>
      <c r="Y141" s="225">
        <v>0.16900000000000001</v>
      </c>
      <c r="Z141" s="225">
        <v>0.16800000000000001</v>
      </c>
      <c r="AA141" s="225">
        <v>0.16800000000000001</v>
      </c>
      <c r="AB141" s="225">
        <v>0.16700000000000001</v>
      </c>
      <c r="AC141" s="225">
        <v>0.16600000000000001</v>
      </c>
      <c r="AD141" s="225">
        <v>0.16500000000000001</v>
      </c>
      <c r="AE141" s="225">
        <v>0.16600000000000001</v>
      </c>
      <c r="AF141" s="225">
        <v>0.16300000000000001</v>
      </c>
      <c r="AG141" s="225">
        <v>0.16300000000000001</v>
      </c>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c r="BJ141" s="224"/>
    </row>
    <row r="142" spans="1:62" x14ac:dyDescent="0.25">
      <c r="A142" s="204" t="s">
        <v>199</v>
      </c>
      <c r="B142" s="204" t="s">
        <v>400</v>
      </c>
      <c r="C142" s="204" t="s">
        <v>401</v>
      </c>
      <c r="D142" s="204" t="s">
        <v>29</v>
      </c>
      <c r="E142" s="204" t="s">
        <v>224</v>
      </c>
      <c r="F142" s="225">
        <v>0.24948888888888884</v>
      </c>
      <c r="G142" s="225">
        <v>0.31843710000000003</v>
      </c>
      <c r="H142" s="225">
        <v>0.31843710000000003</v>
      </c>
      <c r="I142" s="225">
        <v>0.3185557075790022</v>
      </c>
      <c r="J142" s="225">
        <v>0.30682680959641423</v>
      </c>
      <c r="K142" s="225">
        <v>0.29901672391185941</v>
      </c>
      <c r="L142" s="225">
        <v>0.29202977458264762</v>
      </c>
      <c r="M142" s="225">
        <v>0.29575510496983481</v>
      </c>
      <c r="N142" s="225">
        <v>0.29272136882336058</v>
      </c>
      <c r="O142" s="225">
        <v>0.28972233493461919</v>
      </c>
      <c r="P142" s="225">
        <v>0.28202527392297205</v>
      </c>
      <c r="Q142" s="225">
        <v>0.27738785930177534</v>
      </c>
      <c r="R142" s="225">
        <v>0.27623293421551504</v>
      </c>
      <c r="S142" s="225">
        <v>0.27382133120172014</v>
      </c>
      <c r="T142" s="225">
        <v>0.27419086528373493</v>
      </c>
      <c r="U142" s="225">
        <v>0.27114188373388004</v>
      </c>
      <c r="V142" s="225">
        <v>0.26786248366899557</v>
      </c>
      <c r="W142" s="225">
        <v>0.26819584525983664</v>
      </c>
      <c r="X142" s="225">
        <v>0.26244568333683821</v>
      </c>
      <c r="Y142" s="225">
        <v>0.26224287364706211</v>
      </c>
      <c r="Z142" s="225">
        <v>0.25993006249364503</v>
      </c>
      <c r="AA142" s="225">
        <v>0.25990382993354166</v>
      </c>
      <c r="AB142" s="225">
        <v>0.25910965233019745</v>
      </c>
      <c r="AC142" s="225">
        <v>0.2582042034666866</v>
      </c>
      <c r="AD142" s="225">
        <v>0.25666350264146737</v>
      </c>
      <c r="AE142" s="225">
        <v>0.2583987826656034</v>
      </c>
      <c r="AF142" s="225">
        <v>0.25420892068596179</v>
      </c>
      <c r="AG142" s="225">
        <v>0.25371580160284374</v>
      </c>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row>
    <row r="143" spans="1:62" x14ac:dyDescent="0.25">
      <c r="A143" s="204" t="s">
        <v>199</v>
      </c>
      <c r="B143" s="204" t="s">
        <v>400</v>
      </c>
      <c r="C143" s="204" t="s">
        <v>402</v>
      </c>
      <c r="D143" s="204" t="s">
        <v>282</v>
      </c>
      <c r="E143" s="204" t="s">
        <v>220</v>
      </c>
      <c r="F143" s="225">
        <v>0.2387791666666666</v>
      </c>
      <c r="G143" s="225">
        <v>0.29901730000000004</v>
      </c>
      <c r="H143" s="225">
        <v>0.29901730000000004</v>
      </c>
      <c r="I143" s="225">
        <v>0.30006705254061711</v>
      </c>
      <c r="J143" s="225">
        <v>0.28985975087018317</v>
      </c>
      <c r="K143" s="225">
        <v>0.28276309626762225</v>
      </c>
      <c r="L143" s="225">
        <v>0.27616217312728719</v>
      </c>
      <c r="M143" s="225">
        <v>0.27947164513676004</v>
      </c>
      <c r="N143" s="225">
        <v>0.27697179676977379</v>
      </c>
      <c r="O143" s="225">
        <v>0.27403623371432828</v>
      </c>
      <c r="P143" s="225">
        <v>0.26713628792555011</v>
      </c>
      <c r="Q143" s="225">
        <v>0.26247994823209991</v>
      </c>
      <c r="R143" s="225">
        <v>0.26110177842076532</v>
      </c>
      <c r="S143" s="225">
        <v>0.25895507469954815</v>
      </c>
      <c r="T143" s="225">
        <v>0.25923613365787762</v>
      </c>
      <c r="U143" s="225">
        <v>0.25625518075599846</v>
      </c>
      <c r="V143" s="225">
        <v>0.2530859119814296</v>
      </c>
      <c r="W143" s="225">
        <v>0.25379051825016657</v>
      </c>
      <c r="X143" s="225">
        <v>0.24827938086992857</v>
      </c>
      <c r="Y143" s="225">
        <v>0.24780053780026493</v>
      </c>
      <c r="Z143" s="225">
        <v>0.2460131131592686</v>
      </c>
      <c r="AA143" s="225">
        <v>0.24617575587250473</v>
      </c>
      <c r="AB143" s="225">
        <v>0.24533754924191908</v>
      </c>
      <c r="AC143" s="225">
        <v>0.24360962018278526</v>
      </c>
      <c r="AD143" s="225">
        <v>0.24285262562126436</v>
      </c>
      <c r="AE143" s="225">
        <v>0.24426932090955339</v>
      </c>
      <c r="AF143" s="225">
        <v>0.24058854058548404</v>
      </c>
      <c r="AG143" s="225">
        <v>0.23912027521331131</v>
      </c>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row>
    <row r="144" spans="1:62" x14ac:dyDescent="0.25">
      <c r="A144" s="204" t="s">
        <v>199</v>
      </c>
      <c r="B144" s="204" t="s">
        <v>400</v>
      </c>
      <c r="C144" s="204" t="s">
        <v>403</v>
      </c>
      <c r="D144" s="204" t="s">
        <v>211</v>
      </c>
      <c r="E144" s="204" t="s">
        <v>184</v>
      </c>
      <c r="F144" s="225">
        <v>0.13461524191631014</v>
      </c>
      <c r="G144" s="225">
        <v>0.14972580000000002</v>
      </c>
      <c r="H144" s="225">
        <v>0.14972580000000002</v>
      </c>
      <c r="I144" s="225">
        <v>0.15393905910957234</v>
      </c>
      <c r="J144" s="225">
        <v>0.14741877461833991</v>
      </c>
      <c r="K144" s="225">
        <v>0.14347087014620727</v>
      </c>
      <c r="L144" s="225">
        <v>0.13919664340619115</v>
      </c>
      <c r="M144" s="225">
        <v>0.14140830793162157</v>
      </c>
      <c r="N144" s="225">
        <v>0.13946531779724716</v>
      </c>
      <c r="O144" s="225">
        <v>0.13741976020485358</v>
      </c>
      <c r="P144" s="225">
        <v>0.13314048842671194</v>
      </c>
      <c r="Q144" s="225">
        <v>0.12997796452268862</v>
      </c>
      <c r="R144" s="225">
        <v>0.12905443835051594</v>
      </c>
      <c r="S144" s="225">
        <v>0.12736896463787145</v>
      </c>
      <c r="T144" s="225">
        <v>0.12705363576103473</v>
      </c>
      <c r="U144" s="225">
        <v>0.12479447230258559</v>
      </c>
      <c r="V144" s="225">
        <v>0.12306812030459188</v>
      </c>
      <c r="W144" s="225">
        <v>0.12161401184637768</v>
      </c>
      <c r="X144" s="225">
        <v>0.11981895142447291</v>
      </c>
      <c r="Y144" s="225">
        <v>0.11947652076284516</v>
      </c>
      <c r="Z144" s="225">
        <v>0.11813213456181915</v>
      </c>
      <c r="AA144" s="225">
        <v>0.11776595249217288</v>
      </c>
      <c r="AB144" s="225">
        <v>0.11671460964209837</v>
      </c>
      <c r="AC144" s="225">
        <v>0.11542353577596559</v>
      </c>
      <c r="AD144" s="225">
        <v>0.11413029039537367</v>
      </c>
      <c r="AE144" s="225">
        <v>0.11408534709925926</v>
      </c>
      <c r="AF144" s="225">
        <v>0.11157198634253689</v>
      </c>
      <c r="AG144" s="225">
        <v>0.11105700402903373</v>
      </c>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224"/>
    </row>
    <row r="145" spans="1:62" x14ac:dyDescent="0.25">
      <c r="A145" s="204" t="s">
        <v>199</v>
      </c>
      <c r="B145" s="204" t="s">
        <v>400</v>
      </c>
      <c r="C145" s="204" t="s">
        <v>404</v>
      </c>
      <c r="D145" s="204" t="s">
        <v>20</v>
      </c>
      <c r="E145" s="204" t="s">
        <v>201</v>
      </c>
      <c r="F145" s="225">
        <v>0.14565294572344248</v>
      </c>
      <c r="G145" s="225">
        <v>0.166494</v>
      </c>
      <c r="H145" s="225">
        <v>0.166494</v>
      </c>
      <c r="I145" s="225">
        <v>0.17067364425510823</v>
      </c>
      <c r="J145" s="225">
        <v>0.16402479973212153</v>
      </c>
      <c r="K145" s="225">
        <v>0.1598803452286319</v>
      </c>
      <c r="L145" s="225">
        <v>0.15536602618898016</v>
      </c>
      <c r="M145" s="225">
        <v>0.15777612673469252</v>
      </c>
      <c r="N145" s="225">
        <v>0.15577935671705764</v>
      </c>
      <c r="O145" s="225">
        <v>0.15375400462309821</v>
      </c>
      <c r="P145" s="225">
        <v>0.14939123722735295</v>
      </c>
      <c r="Q145" s="225">
        <v>0.14621655746154216</v>
      </c>
      <c r="R145" s="225">
        <v>0.14521311722872285</v>
      </c>
      <c r="S145" s="225">
        <v>0.14365121692714075</v>
      </c>
      <c r="T145" s="225">
        <v>0.14335382327852159</v>
      </c>
      <c r="U145" s="225">
        <v>0.14146761857211101</v>
      </c>
      <c r="V145" s="225">
        <v>0.13970054224503792</v>
      </c>
      <c r="W145" s="225">
        <v>0.13907495967050298</v>
      </c>
      <c r="X145" s="225">
        <v>0.13517026872531251</v>
      </c>
      <c r="Y145" s="225">
        <v>0.13495172822617746</v>
      </c>
      <c r="Z145" s="225">
        <v>0.13356837140683861</v>
      </c>
      <c r="AA145" s="225">
        <v>0.13340555513586216</v>
      </c>
      <c r="AB145" s="225">
        <v>0.13193244405269647</v>
      </c>
      <c r="AC145" s="225">
        <v>0.1309556449401488</v>
      </c>
      <c r="AD145" s="225">
        <v>0.12935301400102267</v>
      </c>
      <c r="AE145" s="225">
        <v>0.13008183990048283</v>
      </c>
      <c r="AF145" s="225">
        <v>0.12725843460285552</v>
      </c>
      <c r="AG145" s="225">
        <v>0.1267523165411634</v>
      </c>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224"/>
    </row>
    <row r="146" spans="1:62" x14ac:dyDescent="0.25">
      <c r="A146" s="204" t="s">
        <v>199</v>
      </c>
      <c r="B146" s="204" t="s">
        <v>400</v>
      </c>
      <c r="C146" s="204" t="s">
        <v>405</v>
      </c>
      <c r="D146" s="204" t="s">
        <v>218</v>
      </c>
      <c r="E146" s="204" t="s">
        <v>213</v>
      </c>
      <c r="F146" s="225">
        <v>0.20324146825396827</v>
      </c>
      <c r="G146" s="225">
        <v>0.2015652</v>
      </c>
      <c r="H146" s="225">
        <v>0.2015652</v>
      </c>
      <c r="I146" s="225">
        <v>0.20237080743349556</v>
      </c>
      <c r="J146" s="225">
        <v>0.19409495558078249</v>
      </c>
      <c r="K146" s="225">
        <v>0.18822253588053794</v>
      </c>
      <c r="L146" s="225">
        <v>0.18293211849247779</v>
      </c>
      <c r="M146" s="225">
        <v>0.18571547990494502</v>
      </c>
      <c r="N146" s="225">
        <v>0.18367484389030936</v>
      </c>
      <c r="O146" s="225">
        <v>0.18115948731791345</v>
      </c>
      <c r="P146" s="225">
        <v>0.17541503850753287</v>
      </c>
      <c r="Q146" s="225">
        <v>0.17203982445001198</v>
      </c>
      <c r="R146" s="225">
        <v>0.1707189881678263</v>
      </c>
      <c r="S146" s="225">
        <v>0.16890822637500535</v>
      </c>
      <c r="T146" s="225">
        <v>0.1691289934678572</v>
      </c>
      <c r="U146" s="225">
        <v>0.16691407285707954</v>
      </c>
      <c r="V146" s="225">
        <v>0.16449114994389982</v>
      </c>
      <c r="W146" s="225">
        <v>0.16470157188739026</v>
      </c>
      <c r="X146" s="225">
        <v>0.16042660202611589</v>
      </c>
      <c r="Y146" s="225">
        <v>0.16023403507713227</v>
      </c>
      <c r="Z146" s="225">
        <v>0.15863942165320799</v>
      </c>
      <c r="AA146" s="225">
        <v>0.15854284329596777</v>
      </c>
      <c r="AB146" s="225">
        <v>0.15791568242182386</v>
      </c>
      <c r="AC146" s="225">
        <v>0.15699381093658912</v>
      </c>
      <c r="AD146" s="225">
        <v>0.15576311952140259</v>
      </c>
      <c r="AE146" s="225">
        <v>0.15702630632853612</v>
      </c>
      <c r="AF146" s="225">
        <v>0.15380788852189364</v>
      </c>
      <c r="AG146" s="225">
        <v>0.15303339783775893</v>
      </c>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row>
    <row r="147" spans="1:62" x14ac:dyDescent="0.25">
      <c r="A147" s="204" t="s">
        <v>199</v>
      </c>
      <c r="B147" s="204" t="s">
        <v>400</v>
      </c>
      <c r="C147" s="204" t="s">
        <v>406</v>
      </c>
      <c r="D147" s="204" t="s">
        <v>222</v>
      </c>
      <c r="E147" s="204" t="s">
        <v>228</v>
      </c>
      <c r="F147" s="225">
        <v>0.21280031749680761</v>
      </c>
      <c r="G147" s="225">
        <v>0.2250405</v>
      </c>
      <c r="H147" s="225">
        <v>0.2250405</v>
      </c>
      <c r="I147" s="225">
        <v>0.22575449642348838</v>
      </c>
      <c r="J147" s="225">
        <v>0.21465880438550722</v>
      </c>
      <c r="K147" s="225">
        <v>0.20677945056635461</v>
      </c>
      <c r="L147" s="225">
        <v>0.19996668342922896</v>
      </c>
      <c r="M147" s="225">
        <v>0.20245294870539385</v>
      </c>
      <c r="N147" s="225">
        <v>0.19938902927194913</v>
      </c>
      <c r="O147" s="225">
        <v>0.19551683983684492</v>
      </c>
      <c r="P147" s="225">
        <v>0.18786193522516814</v>
      </c>
      <c r="Q147" s="225">
        <v>0.18314803970480226</v>
      </c>
      <c r="R147" s="225">
        <v>0.18183719341557852</v>
      </c>
      <c r="S147" s="225">
        <v>0.18004286727338503</v>
      </c>
      <c r="T147" s="225">
        <v>0.18074235814743744</v>
      </c>
      <c r="U147" s="225">
        <v>0.1782978893242369</v>
      </c>
      <c r="V147" s="225">
        <v>0.17484462502593562</v>
      </c>
      <c r="W147" s="225">
        <v>0.17496989361361923</v>
      </c>
      <c r="X147" s="225">
        <v>0.17001641497267414</v>
      </c>
      <c r="Y147" s="225">
        <v>0.17020981203364813</v>
      </c>
      <c r="Z147" s="225">
        <v>0.16818520289452837</v>
      </c>
      <c r="AA147" s="225">
        <v>0.16836451802195768</v>
      </c>
      <c r="AB147" s="225">
        <v>0.16827305003936177</v>
      </c>
      <c r="AC147" s="225">
        <v>0.16677675957847699</v>
      </c>
      <c r="AD147" s="225">
        <v>0.16559754392774703</v>
      </c>
      <c r="AE147" s="225">
        <v>0.16770430306384337</v>
      </c>
      <c r="AF147" s="225">
        <v>0.16360319407148552</v>
      </c>
      <c r="AG147" s="225">
        <v>0.16228050902720006</v>
      </c>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row>
    <row r="148" spans="1:62" x14ac:dyDescent="0.25">
      <c r="A148" s="204" t="s">
        <v>199</v>
      </c>
      <c r="B148" s="204" t="s">
        <v>400</v>
      </c>
      <c r="C148" s="204" t="s">
        <v>407</v>
      </c>
      <c r="D148" s="204" t="s">
        <v>226</v>
      </c>
      <c r="E148" s="204" t="s">
        <v>196</v>
      </c>
      <c r="F148" s="225">
        <v>0.14390206462977129</v>
      </c>
      <c r="G148" s="225">
        <v>0.15115479999999998</v>
      </c>
      <c r="H148" s="225">
        <v>0.15115479999999998</v>
      </c>
      <c r="I148" s="225">
        <v>0.15489855773012834</v>
      </c>
      <c r="J148" s="225">
        <v>0.14869841268582307</v>
      </c>
      <c r="K148" s="225">
        <v>0.144831481023912</v>
      </c>
      <c r="L148" s="225">
        <v>0.14057931767200507</v>
      </c>
      <c r="M148" s="225">
        <v>0.14289947307696829</v>
      </c>
      <c r="N148" s="225">
        <v>0.14117453930996665</v>
      </c>
      <c r="O148" s="225">
        <v>0.13929137223961793</v>
      </c>
      <c r="P148" s="225">
        <v>0.13510854227331301</v>
      </c>
      <c r="Q148" s="225">
        <v>0.13231904626880231</v>
      </c>
      <c r="R148" s="225">
        <v>0.13139374856223396</v>
      </c>
      <c r="S148" s="225">
        <v>0.13003619867148136</v>
      </c>
      <c r="T148" s="225">
        <v>0.12980776635547578</v>
      </c>
      <c r="U148" s="225">
        <v>0.12791802849284006</v>
      </c>
      <c r="V148" s="225">
        <v>0.12636095088151525</v>
      </c>
      <c r="W148" s="225">
        <v>0.12572692960324114</v>
      </c>
      <c r="X148" s="225">
        <v>0.12216213761198491</v>
      </c>
      <c r="Y148" s="225">
        <v>0.1220861848246845</v>
      </c>
      <c r="Z148" s="225">
        <v>0.1207060058687657</v>
      </c>
      <c r="AA148" s="225">
        <v>0.12062565587542745</v>
      </c>
      <c r="AB148" s="225">
        <v>0.11929022365964953</v>
      </c>
      <c r="AC148" s="225">
        <v>0.1185148056363366</v>
      </c>
      <c r="AD148" s="225">
        <v>0.1168262168559395</v>
      </c>
      <c r="AE148" s="225">
        <v>0.11735420767913443</v>
      </c>
      <c r="AF148" s="225">
        <v>0.11485343984390763</v>
      </c>
      <c r="AG148" s="225">
        <v>0.114560217884165</v>
      </c>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row>
    <row r="149" spans="1:62" x14ac:dyDescent="0.25">
      <c r="A149" s="204" t="s">
        <v>199</v>
      </c>
      <c r="B149" s="204" t="s">
        <v>408</v>
      </c>
      <c r="C149" s="204" t="s">
        <v>409</v>
      </c>
      <c r="D149" s="204" t="s">
        <v>188</v>
      </c>
      <c r="E149" s="204" t="s">
        <v>213</v>
      </c>
      <c r="F149" s="225">
        <v>0.127</v>
      </c>
      <c r="G149" s="225">
        <v>0.10299999999999999</v>
      </c>
      <c r="H149" s="225">
        <v>0.10299999999999999</v>
      </c>
      <c r="I149" s="225">
        <v>0.104</v>
      </c>
      <c r="J149" s="225">
        <v>9.7000000000000003E-2</v>
      </c>
      <c r="K149" s="225">
        <v>9.1999999999999998E-2</v>
      </c>
      <c r="L149" s="225">
        <v>8.7999999999999995E-2</v>
      </c>
      <c r="M149" s="225">
        <v>0.09</v>
      </c>
      <c r="N149" s="225">
        <v>8.7999999999999995E-2</v>
      </c>
      <c r="O149" s="225">
        <v>8.5999999999999993E-2</v>
      </c>
      <c r="P149" s="225">
        <v>8.1000000000000003E-2</v>
      </c>
      <c r="Q149" s="225">
        <v>7.8E-2</v>
      </c>
      <c r="R149" s="225">
        <v>7.6999999999999999E-2</v>
      </c>
      <c r="S149" s="225">
        <v>7.5999999999999998E-2</v>
      </c>
      <c r="T149" s="225">
        <v>7.5999999999999998E-2</v>
      </c>
      <c r="U149" s="225">
        <v>7.3999999999999996E-2</v>
      </c>
      <c r="V149" s="225">
        <v>7.1999999999999995E-2</v>
      </c>
      <c r="W149" s="225">
        <v>7.1999999999999995E-2</v>
      </c>
      <c r="X149" s="225">
        <v>6.9000000000000006E-2</v>
      </c>
      <c r="Y149" s="225">
        <v>6.9000000000000006E-2</v>
      </c>
      <c r="Z149" s="225">
        <v>6.7000000000000004E-2</v>
      </c>
      <c r="AA149" s="225">
        <v>6.7000000000000004E-2</v>
      </c>
      <c r="AB149" s="225">
        <v>6.7000000000000004E-2</v>
      </c>
      <c r="AC149" s="225">
        <v>6.6000000000000003E-2</v>
      </c>
      <c r="AD149" s="225">
        <v>6.5000000000000002E-2</v>
      </c>
      <c r="AE149" s="225">
        <v>6.6000000000000003E-2</v>
      </c>
      <c r="AF149" s="225">
        <v>6.3E-2</v>
      </c>
      <c r="AG149" s="225">
        <v>6.3E-2</v>
      </c>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224"/>
    </row>
    <row r="150" spans="1:62" x14ac:dyDescent="0.25">
      <c r="A150" s="204" t="s">
        <v>199</v>
      </c>
      <c r="B150" s="204" t="s">
        <v>408</v>
      </c>
      <c r="C150" s="204" t="s">
        <v>401</v>
      </c>
      <c r="D150" s="204" t="s">
        <v>29</v>
      </c>
      <c r="E150" s="204" t="s">
        <v>224</v>
      </c>
      <c r="F150" s="225">
        <v>0.14847410527394972</v>
      </c>
      <c r="G150" s="225">
        <v>0.10495840000000001</v>
      </c>
      <c r="H150" s="225">
        <v>0.10495840000000001</v>
      </c>
      <c r="I150" s="225">
        <v>0.1050210036132288</v>
      </c>
      <c r="J150" s="225">
        <v>9.8830240770926059E-2</v>
      </c>
      <c r="K150" s="225">
        <v>9.4707910751266805E-2</v>
      </c>
      <c r="L150" s="225">
        <v>9.1020049679190834E-2</v>
      </c>
      <c r="M150" s="225">
        <v>9.2986358617211912E-2</v>
      </c>
      <c r="N150" s="225">
        <v>9.1385087889405692E-2</v>
      </c>
      <c r="O150" s="225">
        <v>8.9802133754346314E-2</v>
      </c>
      <c r="P150" s="225">
        <v>8.5739460570848428E-2</v>
      </c>
      <c r="Q150" s="225">
        <v>8.3291734095277042E-2</v>
      </c>
      <c r="R150" s="225">
        <v>8.2682139969701252E-2</v>
      </c>
      <c r="S150" s="225">
        <v>8.1409244395850205E-2</v>
      </c>
      <c r="T150" s="225">
        <v>8.160429237625702E-2</v>
      </c>
      <c r="U150" s="225">
        <v>7.9994974798959506E-2</v>
      </c>
      <c r="V150" s="225">
        <v>7.8264037408518256E-2</v>
      </c>
      <c r="W150" s="225">
        <v>7.8439992775569248E-2</v>
      </c>
      <c r="X150" s="225">
        <v>7.5404934509825161E-2</v>
      </c>
      <c r="Y150" s="225">
        <v>7.5297887224275509E-2</v>
      </c>
      <c r="Z150" s="225">
        <v>7.4077136104170813E-2</v>
      </c>
      <c r="AA150" s="225">
        <v>7.4063289998715087E-2</v>
      </c>
      <c r="AB150" s="225">
        <v>7.3644106098891632E-2</v>
      </c>
      <c r="AC150" s="225">
        <v>7.3166190851598187E-2</v>
      </c>
      <c r="AD150" s="225">
        <v>7.2352976052217022E-2</v>
      </c>
      <c r="AE150" s="225">
        <v>7.3268893908298605E-2</v>
      </c>
      <c r="AF150" s="225">
        <v>7.1057395275055391E-2</v>
      </c>
      <c r="AG150" s="225">
        <v>7.0797116491734952E-2</v>
      </c>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224"/>
    </row>
    <row r="151" spans="1:62" x14ac:dyDescent="0.25">
      <c r="A151" s="204" t="s">
        <v>199</v>
      </c>
      <c r="B151" s="204" t="s">
        <v>408</v>
      </c>
      <c r="C151" s="204" t="s">
        <v>402</v>
      </c>
      <c r="D151" s="204" t="s">
        <v>282</v>
      </c>
      <c r="E151" s="204" t="s">
        <v>220</v>
      </c>
      <c r="F151" s="225">
        <v>0.13797095589160324</v>
      </c>
      <c r="G151" s="225">
        <v>0.1198979</v>
      </c>
      <c r="H151" s="225">
        <v>0.1198979</v>
      </c>
      <c r="I151" s="225">
        <v>0.12067082855545169</v>
      </c>
      <c r="J151" s="225">
        <v>0.11315523356527382</v>
      </c>
      <c r="K151" s="225">
        <v>0.10792999544651424</v>
      </c>
      <c r="L151" s="225">
        <v>0.10306976240101218</v>
      </c>
      <c r="M151" s="225">
        <v>0.10550651327382835</v>
      </c>
      <c r="N151" s="225">
        <v>0.10366588501870916</v>
      </c>
      <c r="O151" s="225">
        <v>0.10150444179843451</v>
      </c>
      <c r="P151" s="225">
        <v>9.6424039584708632E-2</v>
      </c>
      <c r="Q151" s="225">
        <v>9.2995595476504558E-2</v>
      </c>
      <c r="R151" s="225">
        <v>9.1980854611180399E-2</v>
      </c>
      <c r="S151" s="225">
        <v>9.0400245332304258E-2</v>
      </c>
      <c r="T151" s="225">
        <v>9.060718790805708E-2</v>
      </c>
      <c r="U151" s="225">
        <v>8.8412324327193897E-2</v>
      </c>
      <c r="V151" s="225">
        <v>8.607880452992267E-2</v>
      </c>
      <c r="W151" s="225">
        <v>8.6597603279518404E-2</v>
      </c>
      <c r="X151" s="225">
        <v>8.2539775087267286E-2</v>
      </c>
      <c r="Y151" s="225">
        <v>8.2187204869237043E-2</v>
      </c>
      <c r="Z151" s="225">
        <v>8.087113132591231E-2</v>
      </c>
      <c r="AA151" s="225">
        <v>8.0990884498714777E-2</v>
      </c>
      <c r="AB151" s="225">
        <v>8.0373716342334062E-2</v>
      </c>
      <c r="AC151" s="225">
        <v>7.9101449155617648E-2</v>
      </c>
      <c r="AD151" s="225">
        <v>7.8544077117654099E-2</v>
      </c>
      <c r="AE151" s="225">
        <v>7.9587184136046041E-2</v>
      </c>
      <c r="AF151" s="225">
        <v>7.6877040450996637E-2</v>
      </c>
      <c r="AG151" s="225">
        <v>7.5795962588145166E-2</v>
      </c>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224"/>
    </row>
    <row r="152" spans="1:62" x14ac:dyDescent="0.25">
      <c r="A152" s="204" t="s">
        <v>199</v>
      </c>
      <c r="B152" s="204" t="s">
        <v>408</v>
      </c>
      <c r="C152" s="204" t="s">
        <v>403</v>
      </c>
      <c r="D152" s="204" t="s">
        <v>211</v>
      </c>
      <c r="E152" s="204" t="s">
        <v>184</v>
      </c>
      <c r="F152" s="225">
        <v>8.6356867110183061E-2</v>
      </c>
      <c r="G152" s="225">
        <v>6.2989199999999995E-2</v>
      </c>
      <c r="H152" s="225">
        <v>6.2989199999999995E-2</v>
      </c>
      <c r="I152" s="225">
        <v>6.6723052519782486E-2</v>
      </c>
      <c r="J152" s="225">
        <v>6.0944679995297991E-2</v>
      </c>
      <c r="K152" s="225">
        <v>5.7445988678724941E-2</v>
      </c>
      <c r="L152" s="225">
        <v>5.3658105743381153E-2</v>
      </c>
      <c r="M152" s="225">
        <v>5.561811554729517E-2</v>
      </c>
      <c r="N152" s="225">
        <v>5.389620896133096E-2</v>
      </c>
      <c r="O152" s="225">
        <v>5.2083405577516693E-2</v>
      </c>
      <c r="P152" s="225">
        <v>4.8291051654790598E-2</v>
      </c>
      <c r="Q152" s="225">
        <v>4.5488376210244173E-2</v>
      </c>
      <c r="R152" s="225">
        <v>4.4669933661287818E-2</v>
      </c>
      <c r="S152" s="225">
        <v>4.3176241935875853E-2</v>
      </c>
      <c r="T152" s="225">
        <v>4.2896792822798048E-2</v>
      </c>
      <c r="U152" s="225">
        <v>4.0894688762127762E-2</v>
      </c>
      <c r="V152" s="225">
        <v>3.9364770095816598E-2</v>
      </c>
      <c r="W152" s="225">
        <v>3.8076117679827104E-2</v>
      </c>
      <c r="X152" s="225">
        <v>3.6485308592329221E-2</v>
      </c>
      <c r="Y152" s="225">
        <v>3.6181841476844993E-2</v>
      </c>
      <c r="Z152" s="225">
        <v>3.499042654751934E-2</v>
      </c>
      <c r="AA152" s="225">
        <v>3.4665910583062863E-2</v>
      </c>
      <c r="AB152" s="225">
        <v>3.3734195004263702E-2</v>
      </c>
      <c r="AC152" s="225">
        <v>3.2590026254391953E-2</v>
      </c>
      <c r="AD152" s="225">
        <v>3.1443933076298676E-2</v>
      </c>
      <c r="AE152" s="225">
        <v>3.1404103662754451E-2</v>
      </c>
      <c r="AF152" s="225">
        <v>2.9176726197815479E-2</v>
      </c>
      <c r="AG152" s="225">
        <v>2.8720341257105694E-2</v>
      </c>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row>
    <row r="153" spans="1:62" x14ac:dyDescent="0.25">
      <c r="A153" s="204" t="s">
        <v>199</v>
      </c>
      <c r="B153" s="204" t="s">
        <v>408</v>
      </c>
      <c r="C153" s="204" t="s">
        <v>404</v>
      </c>
      <c r="D153" s="204" t="s">
        <v>20</v>
      </c>
      <c r="E153" s="204" t="s">
        <v>201</v>
      </c>
      <c r="F153" s="225">
        <v>9.4338942467489584E-2</v>
      </c>
      <c r="G153" s="225">
        <v>7.8619999999999995E-2</v>
      </c>
      <c r="H153" s="225">
        <v>7.8619999999999995E-2</v>
      </c>
      <c r="I153" s="225">
        <v>8.263053865906253E-2</v>
      </c>
      <c r="J153" s="225">
        <v>7.6250701914596847E-2</v>
      </c>
      <c r="K153" s="225">
        <v>7.2273929253465041E-2</v>
      </c>
      <c r="L153" s="225">
        <v>6.794225652659644E-2</v>
      </c>
      <c r="M153" s="225">
        <v>7.0254846024851908E-2</v>
      </c>
      <c r="N153" s="225">
        <v>6.8338863979443526E-2</v>
      </c>
      <c r="O153" s="225">
        <v>6.6395456269299241E-2</v>
      </c>
      <c r="P153" s="225">
        <v>6.220920350873245E-2</v>
      </c>
      <c r="Q153" s="225">
        <v>5.9162969151498115E-2</v>
      </c>
      <c r="R153" s="225">
        <v>5.8200127435755866E-2</v>
      </c>
      <c r="S153" s="225">
        <v>5.6701420570107984E-2</v>
      </c>
      <c r="T153" s="225">
        <v>5.6416059268535684E-2</v>
      </c>
      <c r="U153" s="225">
        <v>5.4606169136206861E-2</v>
      </c>
      <c r="V153" s="225">
        <v>5.2910587529092917E-2</v>
      </c>
      <c r="W153" s="225">
        <v>5.231031560486351E-2</v>
      </c>
      <c r="X153" s="225">
        <v>4.8563605829686142E-2</v>
      </c>
      <c r="Y153" s="225">
        <v>4.8353907332193032E-2</v>
      </c>
      <c r="Z153" s="225">
        <v>4.7026520199554722E-2</v>
      </c>
      <c r="AA153" s="225">
        <v>4.6870291365419543E-2</v>
      </c>
      <c r="AB153" s="225">
        <v>4.5456781366115404E-2</v>
      </c>
      <c r="AC153" s="225">
        <v>4.4519502888832913E-2</v>
      </c>
      <c r="AD153" s="225">
        <v>4.2981713319847521E-2</v>
      </c>
      <c r="AE153" s="225">
        <v>4.3681051413499559E-2</v>
      </c>
      <c r="AF153" s="225">
        <v>4.0971879195673314E-2</v>
      </c>
      <c r="AG153" s="225">
        <v>4.0486238330428546E-2</v>
      </c>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224"/>
    </row>
    <row r="154" spans="1:62" x14ac:dyDescent="0.25">
      <c r="A154" s="204" t="s">
        <v>199</v>
      </c>
      <c r="B154" s="204" t="s">
        <v>408</v>
      </c>
      <c r="C154" s="204" t="s">
        <v>405</v>
      </c>
      <c r="D154" s="204" t="s">
        <v>218</v>
      </c>
      <c r="E154" s="204" t="s">
        <v>213</v>
      </c>
      <c r="F154" s="225">
        <v>0.1093251203919091</v>
      </c>
      <c r="G154" s="225">
        <v>9.6468600000000002E-2</v>
      </c>
      <c r="H154" s="225">
        <v>9.6468600000000002E-2</v>
      </c>
      <c r="I154" s="225">
        <v>9.7149046655048893E-2</v>
      </c>
      <c r="J154" s="225">
        <v>9.0158947660524166E-2</v>
      </c>
      <c r="K154" s="225">
        <v>8.5198878803244005E-2</v>
      </c>
      <c r="L154" s="225">
        <v>8.0730391217549449E-2</v>
      </c>
      <c r="M154" s="225">
        <v>8.3081324046815605E-2</v>
      </c>
      <c r="N154" s="225">
        <v>8.1357725315475402E-2</v>
      </c>
      <c r="O154" s="225">
        <v>7.9233159559527061E-2</v>
      </c>
      <c r="P154" s="225">
        <v>7.4381179779297368E-2</v>
      </c>
      <c r="Q154" s="225">
        <v>7.1530345712947085E-2</v>
      </c>
      <c r="R154" s="225">
        <v>7.0414717191272777E-2</v>
      </c>
      <c r="S154" s="225">
        <v>6.8885278963935259E-2</v>
      </c>
      <c r="T154" s="225">
        <v>6.9071747240703862E-2</v>
      </c>
      <c r="U154" s="225">
        <v>6.7200941115860849E-2</v>
      </c>
      <c r="V154" s="225">
        <v>6.5154448341382745E-2</v>
      </c>
      <c r="W154" s="225">
        <v>6.5332178711838357E-2</v>
      </c>
      <c r="X154" s="225">
        <v>6.1721376698856315E-2</v>
      </c>
      <c r="Y154" s="225">
        <v>6.1558727335331548E-2</v>
      </c>
      <c r="Z154" s="225">
        <v>6.021185623497774E-2</v>
      </c>
      <c r="AA154" s="225">
        <v>6.0130282484039163E-2</v>
      </c>
      <c r="AB154" s="225">
        <v>5.9600558574793336E-2</v>
      </c>
      <c r="AC154" s="225">
        <v>5.8821910883086789E-2</v>
      </c>
      <c r="AD154" s="225">
        <v>5.7782422141991766E-2</v>
      </c>
      <c r="AE154" s="225">
        <v>5.8849357726096771E-2</v>
      </c>
      <c r="AF154" s="225">
        <v>5.6130959732203625E-2</v>
      </c>
      <c r="AG154" s="225">
        <v>5.5476795466241804E-2</v>
      </c>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row>
    <row r="155" spans="1:62" x14ac:dyDescent="0.25">
      <c r="A155" s="204" t="s">
        <v>199</v>
      </c>
      <c r="B155" s="204" t="s">
        <v>408</v>
      </c>
      <c r="C155" s="204" t="s">
        <v>406</v>
      </c>
      <c r="D155" s="204" t="s">
        <v>222</v>
      </c>
      <c r="E155" s="204" t="s">
        <v>228</v>
      </c>
      <c r="F155" s="225">
        <v>0.158</v>
      </c>
      <c r="G155" s="225">
        <v>0.13700000000000001</v>
      </c>
      <c r="H155" s="225">
        <v>0.13700000000000001</v>
      </c>
      <c r="I155" s="225">
        <v>0.13700000000000001</v>
      </c>
      <c r="J155" s="225">
        <v>0.126</v>
      </c>
      <c r="K155" s="225">
        <v>0.11899999999999999</v>
      </c>
      <c r="L155" s="225">
        <v>0.112</v>
      </c>
      <c r="M155" s="225">
        <v>0.115</v>
      </c>
      <c r="N155" s="225">
        <v>0.112</v>
      </c>
      <c r="O155" s="225">
        <v>0.108</v>
      </c>
      <c r="P155" s="225">
        <v>0.1</v>
      </c>
      <c r="Q155" s="225">
        <v>9.6000000000000002E-2</v>
      </c>
      <c r="R155" s="225">
        <v>9.5000000000000001E-2</v>
      </c>
      <c r="S155" s="225">
        <v>9.2999999999999999E-2</v>
      </c>
      <c r="T155" s="225">
        <v>9.4E-2</v>
      </c>
      <c r="U155" s="225">
        <v>9.0999999999999998E-2</v>
      </c>
      <c r="V155" s="225">
        <v>8.7999999999999995E-2</v>
      </c>
      <c r="W155" s="225">
        <v>8.7999999999999995E-2</v>
      </c>
      <c r="X155" s="225">
        <v>8.3000000000000004E-2</v>
      </c>
      <c r="Y155" s="225">
        <v>8.3000000000000004E-2</v>
      </c>
      <c r="Z155" s="225">
        <v>8.1000000000000003E-2</v>
      </c>
      <c r="AA155" s="225">
        <v>8.2000000000000003E-2</v>
      </c>
      <c r="AB155" s="225">
        <v>8.1000000000000003E-2</v>
      </c>
      <c r="AC155" s="225">
        <v>0.08</v>
      </c>
      <c r="AD155" s="225">
        <v>7.9000000000000001E-2</v>
      </c>
      <c r="AE155" s="225">
        <v>8.1000000000000003E-2</v>
      </c>
      <c r="AF155" s="225">
        <v>7.6999999999999999E-2</v>
      </c>
      <c r="AG155" s="225">
        <v>7.5999999999999998E-2</v>
      </c>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224"/>
    </row>
    <row r="156" spans="1:62" x14ac:dyDescent="0.25">
      <c r="A156" s="204" t="s">
        <v>199</v>
      </c>
      <c r="B156" s="204" t="s">
        <v>408</v>
      </c>
      <c r="C156" s="204" t="s">
        <v>407</v>
      </c>
      <c r="D156" s="204" t="s">
        <v>226</v>
      </c>
      <c r="E156" s="204" t="s">
        <v>196</v>
      </c>
      <c r="F156" s="225">
        <v>0.1104823715980041</v>
      </c>
      <c r="G156" s="225">
        <v>7.1368000000000001E-2</v>
      </c>
      <c r="H156" s="225">
        <v>7.1368000000000001E-2</v>
      </c>
      <c r="I156" s="225">
        <v>7.4879104854109924E-2</v>
      </c>
      <c r="J156" s="225">
        <v>6.9064262941115867E-2</v>
      </c>
      <c r="K156" s="225">
        <v>6.5437638702217277E-2</v>
      </c>
      <c r="L156" s="225">
        <v>6.1449722693336824E-2</v>
      </c>
      <c r="M156" s="225">
        <v>6.3625693867725958E-2</v>
      </c>
      <c r="N156" s="225">
        <v>6.200795475133019E-2</v>
      </c>
      <c r="O156" s="225">
        <v>6.0241815615618914E-2</v>
      </c>
      <c r="P156" s="225">
        <v>5.6318924323690622E-2</v>
      </c>
      <c r="Q156" s="225">
        <v>5.3702779351718292E-2</v>
      </c>
      <c r="R156" s="225">
        <v>5.283498354247463E-2</v>
      </c>
      <c r="S156" s="225">
        <v>5.1561797520644513E-2</v>
      </c>
      <c r="T156" s="225">
        <v>5.134756095103208E-2</v>
      </c>
      <c r="U156" s="225">
        <v>4.9575259359746125E-2</v>
      </c>
      <c r="V156" s="225">
        <v>4.8114945110415391E-2</v>
      </c>
      <c r="W156" s="225">
        <v>4.7520324585202924E-2</v>
      </c>
      <c r="X156" s="225">
        <v>4.417706378505417E-2</v>
      </c>
      <c r="Y156" s="225">
        <v>4.4105831023909532E-2</v>
      </c>
      <c r="Z156" s="225">
        <v>4.2811422202348098E-2</v>
      </c>
      <c r="AA156" s="225">
        <v>4.2736065496072138E-2</v>
      </c>
      <c r="AB156" s="225">
        <v>4.148362266372254E-2</v>
      </c>
      <c r="AC156" s="225">
        <v>4.0756392382845091E-2</v>
      </c>
      <c r="AD156" s="225">
        <v>3.9172739622482175E-2</v>
      </c>
      <c r="AE156" s="225">
        <v>3.9667918871749891E-2</v>
      </c>
      <c r="AF156" s="225">
        <v>3.7322559284347911E-2</v>
      </c>
      <c r="AG156" s="225">
        <v>3.7047559372388156E-2</v>
      </c>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row>
    <row r="157" spans="1:62" x14ac:dyDescent="0.25">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row>
    <row r="158" spans="1:62" x14ac:dyDescent="0.25">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row>
    <row r="159" spans="1:62" x14ac:dyDescent="0.25">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row>
    <row r="160" spans="1:62" x14ac:dyDescent="0.25">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row>
    <row r="161" spans="35:62" x14ac:dyDescent="0.25">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row>
    <row r="162" spans="35:62" x14ac:dyDescent="0.25">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row>
    <row r="163" spans="35:62" x14ac:dyDescent="0.25">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row>
    <row r="164" spans="35:62" x14ac:dyDescent="0.25">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row>
    <row r="165" spans="35:62" x14ac:dyDescent="0.25">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row>
    <row r="166" spans="35:62" x14ac:dyDescent="0.25">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row>
    <row r="167" spans="35:62" x14ac:dyDescent="0.25">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row>
    <row r="168" spans="35:62" x14ac:dyDescent="0.25">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row>
    <row r="169" spans="35:62" x14ac:dyDescent="0.25">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224"/>
    </row>
    <row r="170" spans="35:62" x14ac:dyDescent="0.25">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224"/>
    </row>
    <row r="171" spans="35:62" x14ac:dyDescent="0.25">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224"/>
    </row>
    <row r="172" spans="35:62" x14ac:dyDescent="0.25">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row>
    <row r="173" spans="35:62" x14ac:dyDescent="0.25">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224"/>
    </row>
    <row r="174" spans="35:62" x14ac:dyDescent="0.25">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row>
    <row r="175" spans="35:62" x14ac:dyDescent="0.25">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224"/>
    </row>
  </sheetData>
  <sheetProtection algorithmName="SHA-512" hashValue="51re5jMl4XRi7uiQ8H55TVU6Ru9sUZZhfDGLkeZtZj5Lt3F9hB42KqeqA1qPe5dNNamd3gGEax5Bt3mu3Y4umw==" saltValue="jJpr90ZuhubpbGKY5ZxQKQ==" spinCount="100000" sheet="1" objects="1" scenarios="1" selectLockedCells="1" selectUnlockedCells="1"/>
  <sortState xmlns:xlrd2="http://schemas.microsoft.com/office/spreadsheetml/2017/richdata2" ref="A149:AG156">
    <sortCondition ref="D149:D156"/>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Inputs</vt:lpstr>
      <vt:lpstr>Model</vt:lpstr>
      <vt:lpstr>ModelFactors</vt:lpstr>
      <vt:lpstr>Wind Capacity Factor</vt:lpstr>
      <vt:lpstr>2025_Forecasts</vt:lpstr>
      <vt:lpstr>Cash_Flow_Base_Year</vt:lpstr>
      <vt:lpstr>Cash_Flow_Label</vt:lpstr>
      <vt:lpstr>CC_MTC</vt:lpstr>
      <vt:lpstr>Community_Adder</vt:lpstr>
      <vt:lpstr>Cost_Base_Year</vt:lpstr>
      <vt:lpstr>Date_of_Operation</vt:lpstr>
      <vt:lpstr>Days_per_Year</vt:lpstr>
      <vt:lpstr>Decomm_Cost_Rate</vt:lpstr>
      <vt:lpstr>Degradation</vt:lpstr>
      <vt:lpstr>DRV_Factors</vt:lpstr>
      <vt:lpstr>DRV_Rate</vt:lpstr>
      <vt:lpstr>DRV_Ref_Year</vt:lpstr>
      <vt:lpstr>DRV_Renewal_Rate</vt:lpstr>
      <vt:lpstr>DRV_Table</vt:lpstr>
      <vt:lpstr>Forecast_Base_Year</vt:lpstr>
      <vt:lpstr>Forecast_Energy_Header</vt:lpstr>
      <vt:lpstr>Forecast_Energy_Tier1</vt:lpstr>
      <vt:lpstr>Forecast_Energy_VDER</vt:lpstr>
      <vt:lpstr>Forecast_ICAP</vt:lpstr>
      <vt:lpstr>Forecast_ICAP_Header</vt:lpstr>
      <vt:lpstr>Forecast_NEM_Commercial</vt:lpstr>
      <vt:lpstr>Forecast_NEM_Header</vt:lpstr>
      <vt:lpstr>Forecast_NEM_Residential</vt:lpstr>
      <vt:lpstr>Fraction_of_Credits</vt:lpstr>
      <vt:lpstr>Ground_Lease_Ann</vt:lpstr>
      <vt:lpstr>Ground_Lease_Esc</vt:lpstr>
      <vt:lpstr>Inflation</vt:lpstr>
      <vt:lpstr>Inverter_Age</vt:lpstr>
      <vt:lpstr>Inverter_Cost</vt:lpstr>
      <vt:lpstr>Inverter_Repl_Cycle</vt:lpstr>
      <vt:lpstr>Inverter_Size</vt:lpstr>
      <vt:lpstr>Inverter_Size_Step</vt:lpstr>
      <vt:lpstr>Loaded_Discount_Rate</vt:lpstr>
      <vt:lpstr>NEM_Utility_Name</vt:lpstr>
      <vt:lpstr>Nominal_Real_Switch</vt:lpstr>
      <vt:lpstr>NYISO_Name</vt:lpstr>
      <vt:lpstr>NYISO_Zone</vt:lpstr>
      <vt:lpstr>Plant_Type</vt:lpstr>
      <vt:lpstr>Plant_Type_Table</vt:lpstr>
      <vt:lpstr>Residential_Share</vt:lpstr>
      <vt:lpstr>Revenue_Model</vt:lpstr>
      <vt:lpstr>System_Age</vt:lpstr>
      <vt:lpstr>System_Size</vt:lpstr>
      <vt:lpstr>Tax_Status_Year</vt:lpstr>
      <vt:lpstr>Utility_Loss_Adjustment</vt:lpstr>
      <vt:lpstr>ValGroup</vt:lpstr>
      <vt:lpstr>ValGroup_Table</vt:lpstr>
      <vt:lpstr>ValGroup_Zone</vt:lpstr>
      <vt:lpstr>VDER_Utility_Name</vt:lpstr>
      <vt:lpstr>Zone_Capacity_Factor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2025-01-10T13:31:23Z</dcterms:created>
  <dcterms:modified xsi:type="dcterms:W3CDTF">2025-01-10T14:50:43Z</dcterms:modified>
  <cp:category/>
  <cp:contentStatus/>
</cp:coreProperties>
</file>